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5405" windowHeight="11595" tabRatio="781" firstSheet="1" activeTab="1"/>
  </bookViews>
  <sheets>
    <sheet name="Data" sheetId="1" state="hidden" r:id="rId1"/>
    <sheet name="Instructions" sheetId="2" r:id="rId2"/>
    <sheet name="1. Demande" sheetId="3" r:id="rId3"/>
    <sheet name="Feuil1" sheetId="4" state="hidden" r:id="rId4"/>
    <sheet name="2. Plan d'implantation" sheetId="5" r:id="rId5"/>
    <sheet name="3.1 Rapport détaillé des coûts" sheetId="6" r:id="rId6"/>
    <sheet name="4. Résultats plan implantation" sheetId="7" r:id="rId7"/>
    <sheet name="Autres sites" sheetId="8" r:id="rId8"/>
    <sheet name="Code SCIAN" sheetId="9" state="hidden" r:id="rId9"/>
  </sheets>
  <definedNames>
    <definedName name="_xlnm._FilterDatabase" localSheetId="0" hidden="1">'Data'!$Z$74:$AE$187</definedName>
    <definedName name="Action">'Data'!$M$6:$M$11</definedName>
    <definedName name="Activite_Gestion_Dev">'Data'!$A$174:$M$180</definedName>
    <definedName name="ActiviteTransportExport">'Data'!$A$231:$AT$251</definedName>
    <definedName name="Aide_dem">'Data'!$A$26:$A$27</definedName>
    <definedName name="Aide_Fin_3a">#REF!</definedName>
    <definedName name="Aide_fin_3b">#REF!</definedName>
    <definedName name="Aide_fin_3c">#REF!</definedName>
    <definedName name="Aide_fin_3d">#REF!</definedName>
    <definedName name="Aide_fin_3e">#REF!</definedName>
    <definedName name="AnalExport">'Data'!$A$133:$L$134</definedName>
    <definedName name="Analyse">'Data'!$L$56:$L$59</definedName>
    <definedName name="Appel">'Data'!$B$7:$B$9</definedName>
    <definedName name="Autes_Sites">'Data'!$H$193:$R$222</definedName>
    <definedName name="Autres_Sites">'Data'!$G$193:$R$222</definedName>
    <definedName name="Code_appel">'Data'!$A$7:$B$8</definedName>
    <definedName name="Connaissances">'Data'!$T$56:$T$57</definedName>
    <definedName name="Consomref">'Data'!$A$158:$K$164</definedName>
    <definedName name="Conversion">'Data'!$P$56:$P$59</definedName>
    <definedName name="Dep_3a">#REF!</definedName>
    <definedName name="Dep_3b">#REF!</definedName>
    <definedName name="Dep_3c">#REF!</definedName>
    <definedName name="Dep_3d">#REF!</definedName>
    <definedName name="Dep_3e">#REF!</definedName>
    <definedName name="Deploiement">#REF!</definedName>
    <definedName name="Deploiement2">'Data'!$G$185:$O$190</definedName>
    <definedName name="DEVA">'Data'!$P$30:$P$38</definedName>
    <definedName name="DEVB">'Data'!$Z$30:$Z$35</definedName>
    <definedName name="Echeancier">'Data'!$A$185:$F$205</definedName>
    <definedName name="Eff_énergétique">'Data'!$N$56</definedName>
    <definedName name="Efficacité">'Data'!$N$56</definedName>
    <definedName name="Émissions_fugitives">'Data'!$V$56:$V$57</definedName>
    <definedName name="Énergie">'Data'!$B$75:$B$116</definedName>
    <definedName name="Energie_SEQ">'Data'!$A$74:$X$117</definedName>
    <definedName name="EquipTranspoert">'Data'!$AF$30:$AF$32</definedName>
    <definedName name="EquipTransportExport">'Data'!$A$231:$T$233</definedName>
    <definedName name="Exportation">'Data'!$A$1:$FY$2</definedName>
    <definedName name="Fin_Autre">'Data'!$B$29:$B$45</definedName>
    <definedName name="Fin_autre2">'Data'!$B$29:$C$44</definedName>
    <definedName name="Fin_autre3">'Data'!$L$29:$L$44</definedName>
    <definedName name="Fugitive">'Data'!$AA$75:$AA$227</definedName>
    <definedName name="GESA">'Data'!$F$30:$F$35</definedName>
    <definedName name="GESB">'Data'!$K$30:$K$32</definedName>
    <definedName name="Gestion">'Data'!$R$56:$R$56</definedName>
    <definedName name="Gestion_d_énergie">'Data'!$R$56</definedName>
    <definedName name="Implantation">'2. Plan d''implantation'!$A$15:$AR$49</definedName>
    <definedName name="_xlnm.Print_Titles" localSheetId="2">'1. Demande'!$1:$3</definedName>
    <definedName name="InnoDescType">'Data'!$A$209:$D$217</definedName>
    <definedName name="Innovation">'Data'!$J$56:$J$61</definedName>
    <definedName name="Montage_Fin">'Data'!$A$149:$G$156</definedName>
    <definedName name="Montage_Fin_Inno">'Data'!$A$140:$K$147</definedName>
    <definedName name="Nbremes">'Data'!$FW$2</definedName>
    <definedName name="NRJ">'Data'!$A$74:$X$125</definedName>
    <definedName name="OPTER">'Data'!$V$56:$V$57</definedName>
    <definedName name="Ordre">'Data'!$D$6:$D$9</definedName>
    <definedName name="PRP">'Data'!$AA$75:$AA$227</definedName>
    <definedName name="Recom">'Data'!$K$6:$K$9</definedName>
    <definedName name="Refrigref">'Data'!$A$166:$X$172</definedName>
    <definedName name="Rep_Dep">'Data'!$A$255:$H$261</definedName>
    <definedName name="Rep_dep_Inno">'Data'!$A$264:$F$269</definedName>
    <definedName name="ResImplantation">'4. Résultats plan implantation'!$A$15:$AN$49</definedName>
    <definedName name="Type_Aide">'Data'!$G$16:$G$20</definedName>
    <definedName name="Type_emission">'Data'!$I$6:$I$9</definedName>
    <definedName name="Type_Entreprise">'Data'!$V$5:$V$23</definedName>
    <definedName name="Type_sys">'Data'!$P$6:$P$7</definedName>
    <definedName name="Unite">'Data'!$B$47:$B$49</definedName>
    <definedName name="Unite_Surface">'Data'!$E$48:$E$49</definedName>
    <definedName name="Volet">'Data'!$F$6:$F$11</definedName>
    <definedName name="_xlnm.Print_Area" localSheetId="2">'1. Demande'!$B$1:$AR$221</definedName>
    <definedName name="_xlnm.Print_Area" localSheetId="4">'2. Plan d''implantation'!$A$1:$AF$50</definedName>
    <definedName name="_xlnm.Print_Area" localSheetId="5">'3.1 Rapport détaillé des coûts'!$A$1:$S$74</definedName>
    <definedName name="_xlnm.Print_Area" localSheetId="6">'4. Résultats plan implantation'!$A$1:$AE$50</definedName>
    <definedName name="_xlnm.Print_Area" localSheetId="7">'Autres sites'!$A$1:$H$44</definedName>
    <definedName name="_xlnm.Print_Area" localSheetId="1">'Instructions'!$A$1:$K$47</definedName>
  </definedNames>
  <calcPr fullCalcOnLoad="1"/>
</workbook>
</file>

<file path=xl/comments5.xml><?xml version="1.0" encoding="utf-8"?>
<comments xmlns="http://schemas.openxmlformats.org/spreadsheetml/2006/main">
  <authors>
    <author>L?gar?, Benoit</author>
    <author>Rainville, Josiane (SITE)</author>
  </authors>
  <commentList>
    <comment ref="E12" authorId="0">
      <text>
        <r>
          <rPr>
            <sz val="8"/>
            <rFont val="Arial"/>
            <family val="2"/>
          </rPr>
          <t>Énergie : Pour les émissions provenant de l'utilisation de la forme d'énergie.
Fugitive : Émissions liées aux fuites d'un procédé ou aux réactions chimiques en lien avec le procédé.</t>
        </r>
      </text>
    </comment>
    <comment ref="H13" authorId="0">
      <text>
        <r>
          <rPr>
            <sz val="8"/>
            <rFont val="Arial"/>
            <family val="2"/>
          </rPr>
          <t>Pour les combustibles provenant de biomasse, indiquer le pourcentage d'humidité du combustible.
Pour les biogaz, il s'agit du pourcentage de méthane.</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 unités énergétiques ou potentiel de réchauffement planétaire (PRP)</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text>
    </comment>
    <comment ref="Y12" authorId="1">
      <text>
        <r>
          <rPr>
            <sz val="8"/>
            <rFont val="Arial"/>
            <family val="2"/>
          </rPr>
          <t>Minimum de 7 ans pour les conversions.</t>
        </r>
      </text>
    </comment>
    <comment ref="AA12" authorId="1">
      <text>
        <r>
          <rPr>
            <b/>
            <sz val="8"/>
            <rFont val="Arial"/>
            <family val="2"/>
          </rPr>
          <t xml:space="preserve">I-  </t>
        </r>
        <r>
          <rPr>
            <sz val="8"/>
            <rFont val="Arial"/>
            <family val="2"/>
          </rPr>
          <t xml:space="preserve">Implanter
</t>
        </r>
        <r>
          <rPr>
            <b/>
            <sz val="8"/>
            <rFont val="Arial"/>
            <family val="2"/>
          </rPr>
          <t xml:space="preserve">N- </t>
        </r>
        <r>
          <rPr>
            <sz val="8"/>
            <rFont val="Arial"/>
            <family val="2"/>
          </rPr>
          <t xml:space="preserve">Ne rien faire
</t>
        </r>
        <r>
          <rPr>
            <b/>
            <sz val="8"/>
            <rFont val="Arial"/>
            <family val="2"/>
          </rPr>
          <t xml:space="preserve">E- </t>
        </r>
        <r>
          <rPr>
            <sz val="8"/>
            <rFont val="Arial"/>
            <family val="2"/>
          </rPr>
          <t>Étude supplémentaire requise</t>
        </r>
      </text>
    </comment>
    <comment ref="AC12" authorId="1">
      <text>
        <r>
          <rPr>
            <sz val="8"/>
            <rFont val="Arial"/>
            <family val="2"/>
          </rPr>
          <t xml:space="preserve">1- Implantée
2- En cours d'implantation
3- Dans la prochaine année
4- D'ici deux ans
5- Ne sera pas implantée
</t>
        </r>
      </text>
    </comment>
  </commentList>
</comments>
</file>

<file path=xl/comments7.xml><?xml version="1.0" encoding="utf-8"?>
<comments xmlns="http://schemas.openxmlformats.org/spreadsheetml/2006/main">
  <authors>
    <author>L?gar?, Benoit</author>
    <author>Rainville, Josiane (SITE)</author>
  </authors>
  <commentList>
    <comment ref="E12" authorId="0">
      <text>
        <r>
          <rPr>
            <sz val="8"/>
            <rFont val="Arial"/>
            <family val="2"/>
          </rPr>
          <t xml:space="preserve">Énergie : Pour les émissions provenant de l'utilisation de la forme d'énergie.
Fugitive : Émissions liées aux fuites d'un procédé ou aux réactions chimiques en lien avec le procédé.
</t>
        </r>
      </text>
    </comment>
    <comment ref="H13" authorId="0">
      <text>
        <r>
          <rPr>
            <sz val="8"/>
            <rFont val="Tahoma"/>
            <family val="2"/>
          </rPr>
          <t>Pour les combustibles provenant de biomasse, indiquer le pourcentage d'humidité du combustible.
Pour les biogaz, il s'agit du pourcentage de méthane.</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d'énergie/unités énergétiques ou potentiel de réchauffement planétaire (PRP)</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r>
          <rPr>
            <sz val="9"/>
            <rFont val="Tahoma"/>
            <family val="2"/>
          </rPr>
          <t xml:space="preserve">
</t>
        </r>
      </text>
    </comment>
    <comment ref="Y12" authorId="1">
      <text>
        <r>
          <rPr>
            <sz val="8"/>
            <rFont val="Arial"/>
            <family val="2"/>
          </rPr>
          <t>Minimum de 7 ans pour les conversions.</t>
        </r>
      </text>
    </comment>
  </commentList>
</comments>
</file>

<file path=xl/sharedStrings.xml><?xml version="1.0" encoding="utf-8"?>
<sst xmlns="http://schemas.openxmlformats.org/spreadsheetml/2006/main" count="2605" uniqueCount="1156">
  <si>
    <t>0,82(HFC-22)+0,18(HFC-152a)</t>
  </si>
  <si>
    <t>R-415B</t>
  </si>
  <si>
    <t>0,25(HFC-22)+0,75(HFC-152a)</t>
  </si>
  <si>
    <t>R-416A</t>
  </si>
  <si>
    <t>0,59(HFC-134a)+0,395(HCFC-124)+0,015(600)</t>
  </si>
  <si>
    <t>R-417A</t>
  </si>
  <si>
    <t>R-418A</t>
  </si>
  <si>
    <t>0,015(propane)+0,96(HCFC-22)+0,025(HFC-152a)</t>
  </si>
  <si>
    <t>R-419A</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</si>
  <si>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</si>
  <si>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</si>
  <si>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</si>
  <si>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</si>
  <si>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</si>
  <si>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</si>
  <si>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</si>
  <si>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</si>
  <si>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</si>
  <si>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</si>
  <si>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</si>
  <si>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</si>
  <si>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</si>
  <si>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</si>
  <si>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</si>
  <si>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</si>
  <si>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Dans la prochaine année</t>
  </si>
  <si>
    <t>Gouvernement (Optimisation réfrigération)</t>
  </si>
  <si>
    <t>Privé (Industriel)</t>
  </si>
  <si>
    <t>Coûts liés à l'embauche d'une personne énergie</t>
  </si>
  <si>
    <t>Équipement de mesurage, sondes et programmation</t>
  </si>
  <si>
    <t>E-Rep. technique</t>
  </si>
  <si>
    <t>F-Consultant ext. autorisé</t>
  </si>
  <si>
    <t xml:space="preserve">Production d'énergie renouvelable (cochez ci-dessous) </t>
  </si>
  <si>
    <t xml:space="preserve">Efficacité énergétique (cochez ci-dessous) </t>
  </si>
  <si>
    <t>K-Sommaire coûts projet</t>
  </si>
  <si>
    <t>Montage financier 
(inscrivez d'abord le nom des partenaires ici et remplirssez ensuite les onglets 3a à 3e)</t>
  </si>
  <si>
    <t>Bureau de l'efficacité et de l'innovation énergétiques</t>
  </si>
  <si>
    <t>I-Système de réfrigération</t>
  </si>
  <si>
    <t>Année de réalisation réelle</t>
  </si>
  <si>
    <t>A. Acquisition équipement/matériel</t>
  </si>
  <si>
    <t>B. Acquisition de l'équipement de mesurage</t>
  </si>
  <si>
    <t>R-425A</t>
  </si>
  <si>
    <t>0,185(HFC-32)+0,695(HFC-134a)+0,12(HFC-227ea)</t>
  </si>
  <si>
    <t>R-426A</t>
  </si>
  <si>
    <t>0,051(HFC-125)+0,93(134a)+0,013(600a)+0,006(601a)</t>
  </si>
  <si>
    <t>R-427A</t>
  </si>
  <si>
    <t>0,15(HFC32)+,25(HFC125)+,1(HFC143a)+,5(HFC134a)</t>
  </si>
  <si>
    <t>R-428A</t>
  </si>
  <si>
    <t>R-438A</t>
  </si>
  <si>
    <t>,085(32)+,45(125)+,442(134a)+,017(600)+,006*(601a)</t>
  </si>
  <si>
    <t>0,735(CFC-12)+0,262(HFC-152a)</t>
  </si>
  <si>
    <t>0,75(HCFC-22)+0,25(CFC-12)</t>
  </si>
  <si>
    <t>0,488(HCFC-22)+0,512(CFC-115)</t>
  </si>
  <si>
    <t>0,401(HFC-23)+0,599(CFC-13)</t>
  </si>
  <si>
    <t>0,482(HFC-32)+0,518(CFC-115)</t>
  </si>
  <si>
    <t>0,39(HFC-23)+0,61(PFC-116)</t>
  </si>
  <si>
    <t>0,46(HFC-23)+0,54(PFC-116)</t>
  </si>
  <si>
    <t>R-509A</t>
  </si>
  <si>
    <t>0,44(HCFC-22)+0,56(PFC-218)</t>
  </si>
  <si>
    <t>CCl4</t>
  </si>
  <si>
    <t>Trifluorure d'azote</t>
  </si>
  <si>
    <t>NF3</t>
  </si>
  <si>
    <t>Superficie (pour bâtiment)</t>
  </si>
  <si>
    <t>DJChauffe</t>
  </si>
  <si>
    <t>Superficie</t>
  </si>
  <si>
    <t>UnitSuperficie</t>
  </si>
  <si>
    <t>UnitProd</t>
  </si>
  <si>
    <t>Code_Activité</t>
  </si>
  <si>
    <t>Activité</t>
  </si>
  <si>
    <t>Coût_Interne</t>
  </si>
  <si>
    <t>Coût_externe</t>
  </si>
  <si>
    <t>Aide_demande</t>
  </si>
  <si>
    <t>No</t>
  </si>
  <si>
    <t>Type</t>
  </si>
  <si>
    <t>BT</t>
  </si>
  <si>
    <t>HT</t>
  </si>
  <si>
    <t>1151210</t>
  </si>
  <si>
    <t>Privé (Optimisation réfrigération)</t>
  </si>
  <si>
    <t>OSBL (Optimisation réfrigération)</t>
  </si>
  <si>
    <t>Santé (Optimisation réfrigération)</t>
  </si>
  <si>
    <t>Éducation (Optimisation réfrigération)</t>
  </si>
  <si>
    <t>Municipal (Optimisation réfrigération)</t>
  </si>
  <si>
    <t>514</t>
  </si>
  <si>
    <t>Mazout lourd (nos 4, 5 et 6)</t>
  </si>
  <si>
    <t>GesAmont</t>
  </si>
  <si>
    <t>CodeMEE</t>
  </si>
  <si>
    <t>CatMEE</t>
  </si>
  <si>
    <t>Formation ISO 50001</t>
  </si>
  <si>
    <t>QTE</t>
  </si>
  <si>
    <t>GrandConsom</t>
  </si>
  <si>
    <t>Commercial institutionnel</t>
  </si>
  <si>
    <t>1151201</t>
  </si>
  <si>
    <t>1158180</t>
  </si>
  <si>
    <t>Capacité_Actuel</t>
  </si>
  <si>
    <t>Ref_actuel</t>
  </si>
  <si>
    <t>PRPActuel</t>
  </si>
  <si>
    <t>Charge_Actuel</t>
  </si>
  <si>
    <t>Unite_actuel</t>
  </si>
  <si>
    <t>GES_actuel</t>
  </si>
  <si>
    <t>Capacité_Prevu</t>
  </si>
  <si>
    <t>Ref_prevu</t>
  </si>
  <si>
    <t>PRPprevu</t>
  </si>
  <si>
    <t>Charge_prevu</t>
  </si>
  <si>
    <t>Unite_prevu</t>
  </si>
  <si>
    <t>GES_prevu</t>
  </si>
  <si>
    <t>Cas de référence</t>
  </si>
  <si>
    <t>Prévu</t>
  </si>
  <si>
    <t>Quantité/an</t>
  </si>
  <si>
    <t>Durée de vie</t>
  </si>
  <si>
    <t>Date prévue de mise en fonction</t>
  </si>
  <si>
    <t xml:space="preserve">Date du plan : </t>
  </si>
  <si>
    <t>Fonction</t>
  </si>
  <si>
    <t>Poste</t>
  </si>
  <si>
    <t>Adresse</t>
  </si>
  <si>
    <t>Téléphone</t>
  </si>
  <si>
    <t xml:space="preserve">  Code postal</t>
  </si>
  <si>
    <t>Date</t>
  </si>
  <si>
    <t>Période du</t>
  </si>
  <si>
    <t>au</t>
  </si>
  <si>
    <t>Unité</t>
  </si>
  <si>
    <t>kWh</t>
  </si>
  <si>
    <t>Gaz naturel</t>
  </si>
  <si>
    <t>Propane</t>
  </si>
  <si>
    <t>Date prévue de début du projet</t>
  </si>
  <si>
    <t>Nom du fournisseur</t>
  </si>
  <si>
    <t>Description des biens/services achetés</t>
  </si>
  <si>
    <t>Total</t>
  </si>
  <si>
    <t>Facture</t>
  </si>
  <si>
    <t>Bons de commande</t>
  </si>
  <si>
    <t xml:space="preserve">Date </t>
  </si>
  <si>
    <t>Coûts (A)</t>
  </si>
  <si>
    <t>Coûts (B)</t>
  </si>
  <si>
    <t>Justification des écarts (B-A)</t>
  </si>
  <si>
    <t>Tableau sommaire des résultats</t>
  </si>
  <si>
    <t>Description</t>
  </si>
  <si>
    <t>Investissement</t>
  </si>
  <si>
    <t>Remarques</t>
  </si>
  <si>
    <t>Année de réalisation prévue</t>
  </si>
  <si>
    <t>$/an</t>
  </si>
  <si>
    <t>Sans aide ($)</t>
  </si>
  <si>
    <t>Avec aide ($)</t>
  </si>
  <si>
    <t>($)</t>
  </si>
  <si>
    <t>Sans aide (an)</t>
  </si>
  <si>
    <t>Avec aide (an)</t>
  </si>
  <si>
    <t>Titre du projet</t>
  </si>
  <si>
    <t>Entreprise</t>
  </si>
  <si>
    <t>Charge</t>
  </si>
  <si>
    <t>ConsDateDeb</t>
  </si>
  <si>
    <t>ConsDateFin</t>
  </si>
  <si>
    <t>TitreProj</t>
  </si>
  <si>
    <t>DateDebProj</t>
  </si>
  <si>
    <t>DateFinProj</t>
  </si>
  <si>
    <t>DateMER</t>
  </si>
  <si>
    <t>13-1943-00</t>
  </si>
  <si>
    <t>Objectif du projet</t>
  </si>
  <si>
    <t xml:space="preserve"> Personne-ressource  :    </t>
  </si>
  <si>
    <t>Tableau sommaire du plan d'implantation</t>
  </si>
  <si>
    <t>Analyse</t>
  </si>
  <si>
    <t>Implantation</t>
  </si>
  <si>
    <t>Externes</t>
  </si>
  <si>
    <t>Internes</t>
  </si>
  <si>
    <t>Code SCIAN</t>
  </si>
  <si>
    <t>Potentiel de réduction</t>
  </si>
  <si>
    <t>F. Contingences</t>
  </si>
  <si>
    <t>Prix unitaire</t>
  </si>
  <si>
    <t>Coûts réels (B)</t>
  </si>
  <si>
    <t>COÛTS RÉELS</t>
  </si>
  <si>
    <t>TOTAL</t>
  </si>
  <si>
    <t xml:space="preserve">SUIVI DES COÛTS </t>
  </si>
  <si>
    <t>ESTIMATION DES COÛTS</t>
  </si>
  <si>
    <t>Engagement</t>
  </si>
  <si>
    <t>FORMULAIRE DE DEMANDE D'AIDE FINANCIÈRE</t>
  </si>
  <si>
    <t>Municipalité</t>
  </si>
  <si>
    <t>Échéancier :</t>
  </si>
  <si>
    <t>N° facture</t>
  </si>
  <si>
    <t>N°</t>
  </si>
  <si>
    <t xml:space="preserve">   Étude de faisabilité</t>
  </si>
  <si>
    <t>Nature de la contribution</t>
  </si>
  <si>
    <t>Contribution ($)</t>
  </si>
  <si>
    <t>Contribution (%)</t>
  </si>
  <si>
    <t>Potentiel de réduction de la consommation d'énergie annuelle attribuable au projet (GJ/an)</t>
  </si>
  <si>
    <t>Nombre d'employés</t>
  </si>
  <si>
    <t>Appel</t>
  </si>
  <si>
    <t>Nom</t>
  </si>
  <si>
    <t>Code appel</t>
  </si>
  <si>
    <t>Madame</t>
  </si>
  <si>
    <t>Monsieur</t>
  </si>
  <si>
    <t xml:space="preserve"> Prénom</t>
  </si>
  <si>
    <t xml:space="preserve"> Courriel</t>
  </si>
  <si>
    <t>Choisir…</t>
  </si>
  <si>
    <t>Type entreprise</t>
  </si>
  <si>
    <r>
      <t>Potentiel de réduction des émissions de GES annuelle attribuable au projet (tCO</t>
    </r>
    <r>
      <rPr>
        <vertAlign val="subscript"/>
        <sz val="8"/>
        <rFont val="Arial"/>
        <family val="2"/>
      </rPr>
      <t>2equiv</t>
    </r>
    <r>
      <rPr>
        <sz val="8"/>
        <rFont val="Arial"/>
        <family val="2"/>
      </rPr>
      <t>)</t>
    </r>
  </si>
  <si>
    <r>
      <t xml:space="preserve">   </t>
    </r>
    <r>
      <rPr>
        <b/>
        <sz val="8"/>
        <rFont val="Arial"/>
        <family val="2"/>
      </rPr>
      <t>Diagramme de procédés</t>
    </r>
  </si>
  <si>
    <t>CC</t>
  </si>
  <si>
    <t>DescriptionCC</t>
  </si>
  <si>
    <t>00</t>
  </si>
  <si>
    <t>Gouvernement</t>
  </si>
  <si>
    <t>10</t>
  </si>
  <si>
    <t>20</t>
  </si>
  <si>
    <t>Santé</t>
  </si>
  <si>
    <t>30</t>
  </si>
  <si>
    <t>Éducation</t>
  </si>
  <si>
    <t>QteObj</t>
  </si>
  <si>
    <t>GESObj</t>
  </si>
  <si>
    <t>EcartQteObj</t>
  </si>
  <si>
    <t>PourcentEcartObj</t>
  </si>
  <si>
    <t>CoutNRJ</t>
  </si>
  <si>
    <t>40</t>
  </si>
  <si>
    <t>Municipal</t>
  </si>
  <si>
    <t>50</t>
  </si>
  <si>
    <t>Prêt</t>
  </si>
  <si>
    <t>Équité</t>
  </si>
  <si>
    <t>Montant d'aide financière demandé (voir note)</t>
  </si>
  <si>
    <t>Description sommaire du projet</t>
  </si>
  <si>
    <t>Hydro-Québec</t>
  </si>
  <si>
    <t>Investissement Québec</t>
  </si>
  <si>
    <t>Banque/Caisse</t>
  </si>
  <si>
    <t>TDDC</t>
  </si>
  <si>
    <t>BDC</t>
  </si>
  <si>
    <t>CDE</t>
  </si>
  <si>
    <t>Autre…</t>
  </si>
  <si>
    <t>(précisez si nécessaire)</t>
  </si>
  <si>
    <t>Type de dépenses</t>
  </si>
  <si>
    <t>Potentiel énergétique et GES  (remplir l'onglet plan d'implantation si applicable)</t>
  </si>
  <si>
    <t>Interne</t>
  </si>
  <si>
    <t>Externe</t>
  </si>
  <si>
    <t xml:space="preserve">Total des contributions  </t>
  </si>
  <si>
    <t xml:space="preserve">Total des coûts </t>
  </si>
  <si>
    <t>BEIE</t>
  </si>
  <si>
    <t xml:space="preserve">  et qu'il reconnaît que les renseignements contenus dans ce formulaire sont exacts.</t>
  </si>
  <si>
    <t xml:space="preserve">*Le signataire déclare qu'il est dûment autorisé à prendre des engagements au nom du requérant, qu'il a pris connaissance des exigences et conditions du programme pour lequel il demande une aide financière </t>
  </si>
  <si>
    <t>G-Site</t>
  </si>
  <si>
    <t>C. Mesurage, quantification et vérification</t>
  </si>
  <si>
    <t>D. Ingénierie ou services professionnels</t>
  </si>
  <si>
    <t>E. Installation et mise en fonction</t>
  </si>
  <si>
    <r>
      <t xml:space="preserve">Durée d'engagement </t>
    </r>
    <r>
      <rPr>
        <sz val="7"/>
        <rFont val="Arial"/>
        <family val="2"/>
      </rPr>
      <t>(maximum 10 ans, volet 4 seulement)</t>
    </r>
  </si>
  <si>
    <t>NEQ</t>
  </si>
  <si>
    <t>OIQ</t>
  </si>
  <si>
    <t>OIFQ</t>
  </si>
  <si>
    <t>OAQ</t>
  </si>
  <si>
    <r>
      <t>N</t>
    </r>
    <r>
      <rPr>
        <vertAlign val="superscript"/>
        <sz val="8"/>
        <rFont val="Arial"/>
        <family val="2"/>
      </rPr>
      <t xml:space="preserve">o </t>
    </r>
  </si>
  <si>
    <t>Cellulaire</t>
  </si>
  <si>
    <t>MAPAQ</t>
  </si>
  <si>
    <t>MSSS</t>
  </si>
  <si>
    <t>MTQ</t>
  </si>
  <si>
    <t>Innovation</t>
  </si>
  <si>
    <t>Conversion</t>
  </si>
  <si>
    <t>Gestion</t>
  </si>
  <si>
    <t>Connaissances</t>
  </si>
  <si>
    <t>OPTER</t>
  </si>
  <si>
    <t>Comptable</t>
  </si>
  <si>
    <t>N° d'imputation</t>
  </si>
  <si>
    <t xml:space="preserve">Coûts estimés Projet (A) </t>
  </si>
  <si>
    <t>Scénario de référence Coûts estimés (si applicable)</t>
  </si>
  <si>
    <t>COÛTS ESTIMÉS PROJET</t>
  </si>
  <si>
    <t>COÛTS ESTIMÉS RÉFÉRENCE</t>
  </si>
  <si>
    <t xml:space="preserve"> Personne-ressource  :</t>
  </si>
  <si>
    <t>Référence</t>
  </si>
  <si>
    <t>Projet</t>
  </si>
  <si>
    <t>Coûts additionnels</t>
  </si>
  <si>
    <t xml:space="preserve">   Bilan de masse et d'énergie</t>
  </si>
  <si>
    <t>*</t>
  </si>
  <si>
    <t>Nom site</t>
  </si>
  <si>
    <t>Production</t>
  </si>
  <si>
    <t>Quantité</t>
  </si>
  <si>
    <t>Coût</t>
  </si>
  <si>
    <t>GJ</t>
  </si>
  <si>
    <t>GES (t)</t>
  </si>
  <si>
    <t>$/GJ</t>
  </si>
  <si>
    <t>GJ/production</t>
  </si>
  <si>
    <t>H-Consommation d'énergie</t>
  </si>
  <si>
    <t>Consommation de référence</t>
  </si>
  <si>
    <t>Énergie</t>
  </si>
  <si>
    <t>Aide potentielle
(si applicable)</t>
  </si>
  <si>
    <t>Coûts
internes</t>
  </si>
  <si>
    <t>Coûts
externes</t>
  </si>
  <si>
    <t>Coûts
totaux</t>
  </si>
  <si>
    <t>Volet</t>
  </si>
  <si>
    <t>Composante</t>
  </si>
  <si>
    <t>PRP</t>
  </si>
  <si>
    <t>Aucun</t>
  </si>
  <si>
    <t>Type
d'émission</t>
  </si>
  <si>
    <t>Energie_SEQ</t>
  </si>
  <si>
    <t>Energie_Forme</t>
  </si>
  <si>
    <t>Energie_Unite</t>
  </si>
  <si>
    <t>Energie_MJU</t>
  </si>
  <si>
    <t>Energie_kWhU</t>
  </si>
  <si>
    <t>Energie_BtuU</t>
  </si>
  <si>
    <t>Energie_Commentaire</t>
  </si>
  <si>
    <t>Code_Etape</t>
  </si>
  <si>
    <t>ABR</t>
  </si>
  <si>
    <t>CO2</t>
  </si>
  <si>
    <t>CH4</t>
  </si>
  <si>
    <t>N2O</t>
  </si>
  <si>
    <t>CO2equiv</t>
  </si>
  <si>
    <t>Type_NRJ</t>
  </si>
  <si>
    <t>CodeCompileMaz</t>
  </si>
  <si>
    <t>PCGIECdef</t>
  </si>
  <si>
    <t>PCGIECmin</t>
  </si>
  <si>
    <t>PCGIECmax</t>
  </si>
  <si>
    <t>FEGIECdef</t>
  </si>
  <si>
    <t>FEGIECmin</t>
  </si>
  <si>
    <t>FEGIECmax</t>
  </si>
  <si>
    <t>%CO2Prod</t>
  </si>
  <si>
    <t>CO2prod</t>
  </si>
  <si>
    <t>Électricité</t>
  </si>
  <si>
    <t/>
  </si>
  <si>
    <t>m³</t>
  </si>
  <si>
    <t>L</t>
  </si>
  <si>
    <t>Diesel</t>
  </si>
  <si>
    <t>Essence (automobile)</t>
  </si>
  <si>
    <t>Essence (aviation)</t>
  </si>
  <si>
    <t>Kérosène</t>
  </si>
  <si>
    <t>Bitume</t>
  </si>
  <si>
    <t>kg</t>
  </si>
  <si>
    <t>Lignite</t>
  </si>
  <si>
    <t>Butane</t>
  </si>
  <si>
    <t>Éthane</t>
  </si>
  <si>
    <t>Bi-énergie chauffage électrique</t>
  </si>
  <si>
    <t>Autre</t>
  </si>
  <si>
    <t>Vapeur</t>
  </si>
  <si>
    <t>Lbs</t>
  </si>
  <si>
    <t>CRD</t>
  </si>
  <si>
    <t>Mazout léger no 2</t>
  </si>
  <si>
    <t>Règlement sur la déclaration obligatoire de certaines émission de contaminants dans l'atmosphère, Loi sur la qualité de l'environnement, Q-2, a.2.2, 109.1 et 124.1
Utilisation des données pour usages industriels.</t>
  </si>
  <si>
    <t>Règlement sur la déclaration obligatoire de certaines émission de contaminants dans l'atmosphère, Loi sur la qualité de l'environnement, Q-2, a.2.2, 109.1 et 124.1</t>
  </si>
  <si>
    <t>Carburéacteur</t>
  </si>
  <si>
    <t>Solaires</t>
  </si>
  <si>
    <t>Anal_IP_Prelim</t>
  </si>
  <si>
    <t>Conv_Sol</t>
  </si>
  <si>
    <t>Analyses</t>
  </si>
  <si>
    <t>Implantations</t>
  </si>
  <si>
    <t>221</t>
  </si>
  <si>
    <t>222</t>
  </si>
  <si>
    <t>Étude IP préliminaire</t>
  </si>
  <si>
    <t>50.4</t>
  </si>
  <si>
    <t>ConnaissanceC</t>
  </si>
  <si>
    <t>Gaz de distillation (du raffinage)</t>
  </si>
  <si>
    <t>Enlever</t>
  </si>
  <si>
    <t>Coke de charbon</t>
  </si>
  <si>
    <t>Coke de pétrole (raffinage)</t>
  </si>
  <si>
    <t>Liqueur usée de cuisson base sèche</t>
  </si>
  <si>
    <t>Gaz de distillation (de valorisation)</t>
  </si>
  <si>
    <t>Lubrifiants (huiles usées)</t>
  </si>
  <si>
    <t>Mazout léger no 1</t>
  </si>
  <si>
    <t>Coke de pétrole (de valorisation)</t>
  </si>
  <si>
    <t>Éthanol (100%)</t>
  </si>
  <si>
    <t>Biodiésel</t>
  </si>
  <si>
    <t>Gras animal fondu</t>
  </si>
  <si>
    <t>Huile végétale</t>
  </si>
  <si>
    <t>Charbon bitumineux étranger</t>
  </si>
  <si>
    <t>Matières résiduelles collectés par une municipalité</t>
  </si>
  <si>
    <t>Règlement sur la déclaration obligatoire de certaines émission de contaminants dans l'atmosphère, Loi sur la qualité de l'environnement, Q-2, a.2.2, 109.1 et 124.1.z</t>
  </si>
  <si>
    <t>Tourbe</t>
  </si>
  <si>
    <t>Règlement sur la déclaration obligatoire de certaines émission de contaminants dans l'atmosphère, Loi sur la qualité de l'environnement, Q-2, a.2.2, 109.1 et 124.1
1 kg donne 11,57 MJ</t>
  </si>
  <si>
    <t>Pneus</t>
  </si>
  <si>
    <t>Sous-produits agricoles (qui ne sont pas destinés à la consommation)</t>
  </si>
  <si>
    <t>Section</t>
  </si>
  <si>
    <t>No_Projet_Sagir_Abrev</t>
  </si>
  <si>
    <t>Cinterne_Prevu</t>
  </si>
  <si>
    <t>Cexterne_Prevu</t>
  </si>
  <si>
    <t>Cinterne_Reel</t>
  </si>
  <si>
    <t>Cexterne_reel</t>
  </si>
  <si>
    <t>Ctotaux_Prevu</t>
  </si>
  <si>
    <t>Ctotaux_Reel</t>
  </si>
  <si>
    <t>Sous-produits de la biomasse (résidus animaux et végétaux, excluant les résidus de bois et la liqueur de cuisson)</t>
  </si>
  <si>
    <t>Gaz de cokerie</t>
  </si>
  <si>
    <t>Biogaz (portion méthane)</t>
  </si>
  <si>
    <t>Gaz d'enfouissement (portion méthane)</t>
  </si>
  <si>
    <t>PRP_SEQ</t>
  </si>
  <si>
    <t>PRP_GAZ</t>
  </si>
  <si>
    <t>PRP_FORMULE</t>
  </si>
  <si>
    <t>PRP_PRP</t>
  </si>
  <si>
    <t>Source donnees</t>
  </si>
  <si>
    <t>HFC-23</t>
  </si>
  <si>
    <t>taux participation</t>
  </si>
  <si>
    <t>litre/an</t>
  </si>
  <si>
    <t>CHF3</t>
  </si>
  <si>
    <t>HFC-32</t>
  </si>
  <si>
    <t>CH2F2</t>
  </si>
  <si>
    <t>HFC-41</t>
  </si>
  <si>
    <t>CH3F</t>
  </si>
  <si>
    <t>HFC-43-10mee</t>
  </si>
  <si>
    <t>HFC-134</t>
  </si>
  <si>
    <t>CHF2CHF2</t>
  </si>
  <si>
    <t>HFC-134a</t>
  </si>
  <si>
    <t>CH2FCF3</t>
  </si>
  <si>
    <t>HFC-143</t>
  </si>
  <si>
    <t>HFC-143a</t>
  </si>
  <si>
    <t>HFC-152a</t>
  </si>
  <si>
    <t>HFC-227ea</t>
  </si>
  <si>
    <t>HFC-236fa</t>
  </si>
  <si>
    <t>HFC-245ca</t>
  </si>
  <si>
    <t>CF4</t>
  </si>
  <si>
    <t>C2F6</t>
  </si>
  <si>
    <t>C3F8</t>
  </si>
  <si>
    <t>C4F10</t>
  </si>
  <si>
    <t>c-C4F8</t>
  </si>
  <si>
    <t>Hexafluorure de soufre</t>
  </si>
  <si>
    <t>SF6</t>
  </si>
  <si>
    <t>CFC-11</t>
  </si>
  <si>
    <t>CFC-12</t>
  </si>
  <si>
    <t>CFC-13</t>
  </si>
  <si>
    <t>CFC-113</t>
  </si>
  <si>
    <t>CFC-114</t>
  </si>
  <si>
    <t>CFC-115</t>
  </si>
  <si>
    <t>HCFC-123</t>
  </si>
  <si>
    <t>HCFC-124</t>
  </si>
  <si>
    <t>HCFC-141b</t>
  </si>
  <si>
    <t>HCFC-142b</t>
  </si>
  <si>
    <t>HCFC-225ca</t>
  </si>
  <si>
    <t>HCFC-225cb</t>
  </si>
  <si>
    <t>Halon 1301</t>
  </si>
  <si>
    <t>R-401A</t>
  </si>
  <si>
    <t>R-401B</t>
  </si>
  <si>
    <t>R-401C</t>
  </si>
  <si>
    <t>R-402A</t>
  </si>
  <si>
    <t>R-402B</t>
  </si>
  <si>
    <t>R-403A</t>
  </si>
  <si>
    <t>R-403B</t>
  </si>
  <si>
    <t>R-404A</t>
  </si>
  <si>
    <t>R-405A</t>
  </si>
  <si>
    <t>R-406A</t>
  </si>
  <si>
    <t>R-407A</t>
  </si>
  <si>
    <t>R-407B</t>
  </si>
  <si>
    <t>R-407C</t>
  </si>
  <si>
    <t>R-408A</t>
  </si>
  <si>
    <t>R-409A</t>
  </si>
  <si>
    <t>R-410A</t>
  </si>
  <si>
    <t>R-410B</t>
  </si>
  <si>
    <t>R-411A</t>
  </si>
  <si>
    <t>R-411B</t>
  </si>
  <si>
    <t>R-412A</t>
  </si>
  <si>
    <t>R-413A</t>
  </si>
  <si>
    <t>R-414A</t>
  </si>
  <si>
    <t>R-414B</t>
  </si>
  <si>
    <t>R-500</t>
  </si>
  <si>
    <t>R-501</t>
  </si>
  <si>
    <t>R-502</t>
  </si>
  <si>
    <t>R-503</t>
  </si>
  <si>
    <t>R-504</t>
  </si>
  <si>
    <t>R-508A</t>
  </si>
  <si>
    <t>R-508B</t>
  </si>
  <si>
    <t>Oxyfume 88/12</t>
  </si>
  <si>
    <t>Bromure de méthyle</t>
  </si>
  <si>
    <t>Tétrachlorure de carbone</t>
  </si>
  <si>
    <t>HFC-161</t>
  </si>
  <si>
    <t>HFC-236cb</t>
  </si>
  <si>
    <t>HFC-236ea</t>
  </si>
  <si>
    <t>HFC-245fa</t>
  </si>
  <si>
    <t>HFC-365mfc</t>
  </si>
  <si>
    <t>Démonstration</t>
  </si>
  <si>
    <t>Mesurage</t>
  </si>
  <si>
    <t>Précommercialisation</t>
  </si>
  <si>
    <t>Diffusion</t>
  </si>
  <si>
    <t>Étude</t>
  </si>
  <si>
    <t>Étude IP</t>
  </si>
  <si>
    <t>Bioénergies</t>
  </si>
  <si>
    <t>Écoconduite</t>
  </si>
  <si>
    <t>Agriculture</t>
  </si>
  <si>
    <t>Efficacité</t>
  </si>
  <si>
    <t>%</t>
  </si>
  <si>
    <t>Approvisionnement</t>
  </si>
  <si>
    <t xml:space="preserve">Date du plan :    </t>
  </si>
  <si>
    <t>Requérant</t>
  </si>
  <si>
    <t>ProjStratTrans</t>
  </si>
  <si>
    <t>Montage financier</t>
  </si>
  <si>
    <t>511</t>
  </si>
  <si>
    <t>512</t>
  </si>
  <si>
    <t>513</t>
  </si>
  <si>
    <t>Formule_actuel</t>
  </si>
  <si>
    <t>Code_Refrig_Actuel</t>
  </si>
  <si>
    <t>Code_unite_Actuel</t>
  </si>
  <si>
    <t>Taux_Fuite</t>
  </si>
  <si>
    <t>Code_Refrig_Prevu</t>
  </si>
  <si>
    <t>Formule_prevu</t>
  </si>
  <si>
    <t>Code_unite_prevu</t>
  </si>
  <si>
    <t xml:space="preserve">   Procuration</t>
  </si>
  <si>
    <t>Sommaire des coûts de projet</t>
  </si>
  <si>
    <t>Matériel</t>
  </si>
  <si>
    <t>Bureau</t>
  </si>
  <si>
    <t>Contribution</t>
  </si>
  <si>
    <t>Contributions</t>
  </si>
  <si>
    <t>Coûts</t>
  </si>
  <si>
    <t>T externe</t>
  </si>
  <si>
    <t>T interne</t>
  </si>
  <si>
    <t>Nature</t>
  </si>
  <si>
    <t>Subvention</t>
  </si>
  <si>
    <t>Description sommaire de la nouvelle technologie ou du nouveau procédé</t>
  </si>
  <si>
    <t>C-Signataire autorisé</t>
  </si>
  <si>
    <t>D-Rep. administratif</t>
  </si>
  <si>
    <t xml:space="preserve">Domaine d'application </t>
  </si>
  <si>
    <t>Résidentiel</t>
  </si>
  <si>
    <t>Commercial</t>
  </si>
  <si>
    <t>Institutionnel</t>
  </si>
  <si>
    <t>Transport</t>
  </si>
  <si>
    <t>Industriel</t>
  </si>
  <si>
    <t>Agricole</t>
  </si>
  <si>
    <t>Autre (précisez)</t>
  </si>
  <si>
    <t>Type de nouvelle technologie ou de procédé</t>
  </si>
  <si>
    <t>Bioénergie</t>
  </si>
  <si>
    <t>Éolienne</t>
  </si>
  <si>
    <t>Géothermie</t>
  </si>
  <si>
    <t>Hydrolienne</t>
  </si>
  <si>
    <t>Hydrogène</t>
  </si>
  <si>
    <t>Marémotrice</t>
  </si>
  <si>
    <t>Solaire</t>
  </si>
  <si>
    <t>Mazout léger</t>
  </si>
  <si>
    <t>Mazout lourd</t>
  </si>
  <si>
    <t>Essence</t>
  </si>
  <si>
    <t>CO2equivNeutralite</t>
  </si>
  <si>
    <t>Annexe 13 du Rapport d'inventaire national du Canada 1990-2010 partie 3</t>
  </si>
  <si>
    <t>02</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</si>
  <si>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</si>
  <si>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</si>
  <si>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</si>
  <si>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t>33,6</t>
  </si>
  <si>
    <t>32,55</t>
  </si>
  <si>
    <t>35,28</t>
  </si>
  <si>
    <t>56,1</t>
  </si>
  <si>
    <t>54,3</t>
  </si>
  <si>
    <t>58,3</t>
  </si>
  <si>
    <t>04</t>
  </si>
  <si>
    <t>MA2</t>
  </si>
  <si>
    <t>MA6</t>
  </si>
  <si>
    <t>07</t>
  </si>
  <si>
    <t>P</t>
  </si>
  <si>
    <t>25,542</t>
  </si>
  <si>
    <t>24,192</t>
  </si>
  <si>
    <t>28,188</t>
  </si>
  <si>
    <t>63,1</t>
  </si>
  <si>
    <t>61,6</t>
  </si>
  <si>
    <t>65,6</t>
  </si>
  <si>
    <t>06</t>
  </si>
  <si>
    <t>36,55</t>
  </si>
  <si>
    <t>35,19</t>
  </si>
  <si>
    <t>36,805</t>
  </si>
  <si>
    <t>74,1</t>
  </si>
  <si>
    <t>72,6</t>
  </si>
  <si>
    <t>74,8</t>
  </si>
  <si>
    <t>05</t>
  </si>
  <si>
    <t>31,453</t>
  </si>
  <si>
    <t>30,175</t>
  </si>
  <si>
    <t>31,808</t>
  </si>
  <si>
    <t>70</t>
  </si>
  <si>
    <t>67,5</t>
  </si>
  <si>
    <t>73</t>
  </si>
  <si>
    <t>Règlement sur la déclaration obligatoire de certaines émission de contaminants dans l'atmosphère, Loi sur la qualité de l'environnement, Q-2, a.2.2, 109.1 et 124.1.  Facteur d’émission du guid des facteurs d’émissions de l’ADEME version 5.0.</t>
  </si>
  <si>
    <t>40,2</t>
  </si>
  <si>
    <t>33,5</t>
  </si>
  <si>
    <t>41,2</t>
  </si>
  <si>
    <t>80,7</t>
  </si>
  <si>
    <t>89,9</t>
  </si>
  <si>
    <t>49,9</t>
  </si>
  <si>
    <t>47,5</t>
  </si>
  <si>
    <t>50,6</t>
  </si>
  <si>
    <t>57,6</t>
  </si>
  <si>
    <t>48,2</t>
  </si>
  <si>
    <t>69</t>
  </si>
  <si>
    <t>11,9</t>
  </si>
  <si>
    <t>5,5</t>
  </si>
  <si>
    <t>21,6</t>
  </si>
  <si>
    <t>101</t>
  </si>
  <si>
    <t>90,9</t>
  </si>
  <si>
    <t>115</t>
  </si>
  <si>
    <t>Règlement sur la déclaration obligatoire de certaines émission de contaminants dans l'atmosphère, Loi sur la qualité de l'environnement, Q-2, a.2.2, 109.1 et 124.1.
Utilisation des données CH4 et N2O pour le secteur industriel, centrales thermiques à vape</t>
  </si>
  <si>
    <t>28,2</t>
  </si>
  <si>
    <t>25,1</t>
  </si>
  <si>
    <t>30,2</t>
  </si>
  <si>
    <t>107</t>
  </si>
  <si>
    <t>95,7</t>
  </si>
  <si>
    <t>119</t>
  </si>
  <si>
    <t>32,5</t>
  </si>
  <si>
    <t>29,7</t>
  </si>
  <si>
    <t>41,9</t>
  </si>
  <si>
    <t>97,5</t>
  </si>
  <si>
    <t>82,9</t>
  </si>
  <si>
    <t>Charbon de bois</t>
  </si>
  <si>
    <t>29,5</t>
  </si>
  <si>
    <t>14,9</t>
  </si>
  <si>
    <t>58</t>
  </si>
  <si>
    <t>112</t>
  </si>
  <si>
    <t>95</t>
  </si>
  <si>
    <t>132</t>
  </si>
  <si>
    <t>85,3</t>
  </si>
  <si>
    <t>110</t>
  </si>
  <si>
    <t>15,6</t>
  </si>
  <si>
    <t>7,9</t>
  </si>
  <si>
    <t>note: rebus de construction</t>
  </si>
  <si>
    <t>42,76</t>
  </si>
  <si>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</si>
  <si>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</si>
  <si>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Inno</t>
  </si>
  <si>
    <t>Version</t>
  </si>
  <si>
    <t>ORGreq</t>
  </si>
  <si>
    <t>ORGAdr</t>
  </si>
  <si>
    <t>ORGVil</t>
  </si>
  <si>
    <t>ORGCP</t>
  </si>
  <si>
    <t>ORGStatLeg</t>
  </si>
  <si>
    <t>ORGNEQ</t>
  </si>
  <si>
    <t>ORGNbreEmplois</t>
  </si>
  <si>
    <t>SignAppel</t>
  </si>
  <si>
    <t>SignNom</t>
  </si>
  <si>
    <t>SignPrenom</t>
  </si>
  <si>
    <t>SignFonc</t>
  </si>
  <si>
    <t>SignEMail</t>
  </si>
  <si>
    <t>SignEnt</t>
  </si>
  <si>
    <t>SignNEQ</t>
  </si>
  <si>
    <t>SignAdr</t>
  </si>
  <si>
    <t>SignVil</t>
  </si>
  <si>
    <t>SignCP</t>
  </si>
  <si>
    <t>SignPhone</t>
  </si>
  <si>
    <t>SignPoste</t>
  </si>
  <si>
    <t>SignCell</t>
  </si>
  <si>
    <t>Signcc</t>
  </si>
  <si>
    <t>RepAdmAppel</t>
  </si>
  <si>
    <t>RepAdmNom</t>
  </si>
  <si>
    <t>RepAdmPrenom</t>
  </si>
  <si>
    <t>RepAdmFonc</t>
  </si>
  <si>
    <t>RepAdmEMail</t>
  </si>
  <si>
    <t>RepAdmEnt</t>
  </si>
  <si>
    <t>RepAdmAdr</t>
  </si>
  <si>
    <t>RepAdmVil</t>
  </si>
  <si>
    <t>RepAdmCP</t>
  </si>
  <si>
    <t>RepAdmNEQ</t>
  </si>
  <si>
    <t>RepAdmPhone</t>
  </si>
  <si>
    <t>RepAdmPoste</t>
  </si>
  <si>
    <t>RepAdmCell</t>
  </si>
  <si>
    <t>RepAdmcc</t>
  </si>
  <si>
    <t>RepTechAppel</t>
  </si>
  <si>
    <t>RepTechNom</t>
  </si>
  <si>
    <t>RepTechPrenom</t>
  </si>
  <si>
    <t>RepTechFonc</t>
  </si>
  <si>
    <t>RepTechEMail</t>
  </si>
  <si>
    <t>RepTechEnt</t>
  </si>
  <si>
    <t>CintProj</t>
  </si>
  <si>
    <t>CextProj</t>
  </si>
  <si>
    <t>CtotProj</t>
  </si>
  <si>
    <t>RepTechAdr</t>
  </si>
  <si>
    <t>RepTechVil</t>
  </si>
  <si>
    <t>RepTechCP</t>
  </si>
  <si>
    <t>RepTechNEQ</t>
  </si>
  <si>
    <t>RepTechPhone</t>
  </si>
  <si>
    <t>RepTechPoste</t>
  </si>
  <si>
    <t>RepTechcc</t>
  </si>
  <si>
    <t>SignSuffixe</t>
  </si>
  <si>
    <t>RepAdmSuffixe</t>
  </si>
  <si>
    <t>RepTechSuffixe</t>
  </si>
  <si>
    <t>RepTechCell</t>
  </si>
  <si>
    <t>RepTechOrdre</t>
  </si>
  <si>
    <t>RepTechNoMbre</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</si>
  <si>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</si>
  <si>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</si>
  <si>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</si>
  <si>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</si>
  <si>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</si>
  <si>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</si>
  <si>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</si>
  <si>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</si>
  <si>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</si>
  <si>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</si>
  <si>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</si>
  <si>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</si>
  <si>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</si>
  <si>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</si>
  <si>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</si>
  <si>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</si>
  <si>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</si>
  <si>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SitePrinc</t>
  </si>
  <si>
    <t>SiteAdr</t>
  </si>
  <si>
    <t>SiteVil</t>
  </si>
  <si>
    <t>SiteCP</t>
  </si>
  <si>
    <t>SiteNEQ</t>
  </si>
  <si>
    <t>SiteSCIAN</t>
  </si>
  <si>
    <t>SiteTypeENT</t>
  </si>
  <si>
    <t>SiteGJNel</t>
  </si>
  <si>
    <t>SIte36TJ</t>
  </si>
  <si>
    <t>Site36TJCode</t>
  </si>
  <si>
    <t>Réfrigérant</t>
  </si>
  <si>
    <t>lbs</t>
  </si>
  <si>
    <t>J-Projet</t>
  </si>
  <si>
    <t>L-Données financières</t>
  </si>
  <si>
    <t>M-Signature</t>
  </si>
  <si>
    <t>ORGRDrec</t>
  </si>
  <si>
    <t>Taux de fuites</t>
  </si>
  <si>
    <t>Residentiel</t>
  </si>
  <si>
    <t>DomaineAutre</t>
  </si>
  <si>
    <t>ProdER</t>
  </si>
  <si>
    <t>Eolienne</t>
  </si>
  <si>
    <t>Geothermie</t>
  </si>
  <si>
    <t>Hydrogene</t>
  </si>
  <si>
    <t>AutreER</t>
  </si>
  <si>
    <t>ERAutre</t>
  </si>
  <si>
    <t>EEInno</t>
  </si>
  <si>
    <t>Electricite</t>
  </si>
  <si>
    <t>MazoutLeger</t>
  </si>
  <si>
    <t>MazoutLourd</t>
  </si>
  <si>
    <t>GazNaturel</t>
  </si>
  <si>
    <t>AutreEE</t>
  </si>
  <si>
    <t>EEAutre</t>
  </si>
  <si>
    <t>DateDemande</t>
  </si>
  <si>
    <t>Maremotrice</t>
  </si>
  <si>
    <t>NbreMes</t>
  </si>
  <si>
    <t>int</t>
  </si>
  <si>
    <t>ext</t>
  </si>
  <si>
    <t>tot</t>
  </si>
  <si>
    <t>Ref</t>
  </si>
  <si>
    <t>Proj</t>
  </si>
  <si>
    <t>I</t>
  </si>
  <si>
    <t>N</t>
  </si>
  <si>
    <t>E</t>
  </si>
  <si>
    <t>Implantée</t>
  </si>
  <si>
    <t>En cours d'implantation</t>
  </si>
  <si>
    <t>D'ici deux ans</t>
  </si>
  <si>
    <t>Ne sera pas implantée</t>
  </si>
  <si>
    <t>Implanter</t>
  </si>
  <si>
    <t>Ne rien faire</t>
  </si>
  <si>
    <t>Étude supplémentaire requise</t>
  </si>
  <si>
    <t>C</t>
  </si>
  <si>
    <t>R&amp;D (reconnu)</t>
  </si>
  <si>
    <t>R&amp;D (Autre)</t>
  </si>
  <si>
    <t>Montantdem</t>
  </si>
  <si>
    <t>Privé (Commercial)</t>
  </si>
  <si>
    <t>OSBL (Institutionnel)</t>
  </si>
  <si>
    <t>OSBL (Commercial)</t>
  </si>
  <si>
    <t>OSBL (Industriel)</t>
  </si>
  <si>
    <t>Secteur</t>
  </si>
  <si>
    <t>Privé (Agriculture)</t>
  </si>
  <si>
    <t>OSBL (Agriculture)</t>
  </si>
  <si>
    <t>Code</t>
  </si>
  <si>
    <t>Partenaires</t>
  </si>
  <si>
    <t>Anal_Etu</t>
  </si>
  <si>
    <t>Anal_IP</t>
  </si>
  <si>
    <t>Anal_Approv</t>
  </si>
  <si>
    <t>Conv_Bio</t>
  </si>
  <si>
    <t>Conv_ER</t>
  </si>
  <si>
    <t>Conv_Conv</t>
  </si>
  <si>
    <t>Gestion_Agri</t>
  </si>
  <si>
    <t>Gestion_Ind</t>
  </si>
  <si>
    <t>DEV_Conduite</t>
  </si>
  <si>
    <t>DEV_Agri</t>
  </si>
  <si>
    <t>DEV_Ind</t>
  </si>
  <si>
    <t>OPTER_Arena</t>
  </si>
  <si>
    <t>OPTER_Super</t>
  </si>
  <si>
    <t>OPTER_Agro</t>
  </si>
  <si>
    <t>InnoC</t>
  </si>
  <si>
    <t>AnalyseC</t>
  </si>
  <si>
    <t>ImplantationC</t>
  </si>
  <si>
    <t>ConversionC</t>
  </si>
  <si>
    <t>GestionC</t>
  </si>
  <si>
    <t>OPTERC</t>
  </si>
  <si>
    <t>RepTechcorprinc</t>
  </si>
  <si>
    <t>Signcorprinc</t>
  </si>
  <si>
    <t>RepAdmcorprinc</t>
  </si>
  <si>
    <t>Consultcorprinc</t>
  </si>
  <si>
    <t>1</t>
  </si>
  <si>
    <t>11</t>
  </si>
  <si>
    <t>12</t>
  </si>
  <si>
    <t>13</t>
  </si>
  <si>
    <t>14</t>
  </si>
  <si>
    <t>15</t>
  </si>
  <si>
    <t>16</t>
  </si>
  <si>
    <t>2</t>
  </si>
  <si>
    <t>21</t>
  </si>
  <si>
    <t>23</t>
  </si>
  <si>
    <t>3</t>
  </si>
  <si>
    <t>31</t>
  </si>
  <si>
    <t>4</t>
  </si>
  <si>
    <t>41</t>
  </si>
  <si>
    <t>42</t>
  </si>
  <si>
    <t>43</t>
  </si>
  <si>
    <t>5</t>
  </si>
  <si>
    <t>51</t>
  </si>
  <si>
    <t>52</t>
  </si>
  <si>
    <t>6</t>
  </si>
  <si>
    <t>61</t>
  </si>
  <si>
    <t>62</t>
  </si>
  <si>
    <t>7</t>
  </si>
  <si>
    <t>71</t>
  </si>
  <si>
    <t>Type_Emission</t>
  </si>
  <si>
    <t>No_Mesure</t>
  </si>
  <si>
    <t>NRJ/PRP</t>
  </si>
  <si>
    <t>UNITE</t>
  </si>
  <si>
    <t>Cons_Spec</t>
  </si>
  <si>
    <t>UNiteProd</t>
  </si>
  <si>
    <t>QteRef</t>
  </si>
  <si>
    <t>QteProj</t>
  </si>
  <si>
    <t>Coutunit</t>
  </si>
  <si>
    <t>GES</t>
  </si>
  <si>
    <t>Cint</t>
  </si>
  <si>
    <t>Cext</t>
  </si>
  <si>
    <t>Ctot</t>
  </si>
  <si>
    <t>Iaa</t>
  </si>
  <si>
    <t>S</t>
  </si>
  <si>
    <t>Aideref</t>
  </si>
  <si>
    <t>PRIsa</t>
  </si>
  <si>
    <t>PRIaa</t>
  </si>
  <si>
    <t>Vie</t>
  </si>
  <si>
    <t>Recommandation (6)</t>
  </si>
  <si>
    <t>Action (7)</t>
  </si>
  <si>
    <t>Aidedem</t>
  </si>
  <si>
    <t>Anprev</t>
  </si>
  <si>
    <t>Anreel</t>
  </si>
  <si>
    <t>Code_Volet</t>
  </si>
  <si>
    <t>Code_composante</t>
  </si>
  <si>
    <t>Type_Emisison</t>
  </si>
  <si>
    <t>Code_NRJ/PRP</t>
  </si>
  <si>
    <t>Code_Fin_Autre</t>
  </si>
  <si>
    <t>Code_recom</t>
  </si>
  <si>
    <t>Code_Action</t>
  </si>
  <si>
    <t>Code_entreprise</t>
  </si>
  <si>
    <t>Regr_Entreprise</t>
  </si>
  <si>
    <t>Type_Depense</t>
  </si>
  <si>
    <t>Pourcent</t>
  </si>
  <si>
    <t>Partenaire</t>
  </si>
  <si>
    <t>Connaissance</t>
  </si>
  <si>
    <t>Tonne min</t>
  </si>
  <si>
    <t>Aide max</t>
  </si>
  <si>
    <t>Detail</t>
  </si>
  <si>
    <t>Type_aide</t>
  </si>
  <si>
    <t>Code_Org</t>
  </si>
  <si>
    <t>Code_FrmNRJ</t>
  </si>
  <si>
    <t>Coût Énergie</t>
  </si>
  <si>
    <t>Coûts de projet</t>
  </si>
  <si>
    <t>36TJ</t>
  </si>
  <si>
    <t>der</t>
  </si>
  <si>
    <t>Tjatteint</t>
  </si>
  <si>
    <t>Code postal</t>
  </si>
  <si>
    <t>K-Activités</t>
  </si>
  <si>
    <t xml:space="preserve">Coûts </t>
  </si>
  <si>
    <t>50.1</t>
  </si>
  <si>
    <t>50.2</t>
  </si>
  <si>
    <t>50.3</t>
  </si>
  <si>
    <t>CodeCAt</t>
  </si>
  <si>
    <t>Activités</t>
  </si>
  <si>
    <t>Aide demandée</t>
  </si>
  <si>
    <t>Code_Req</t>
  </si>
  <si>
    <t>Code_Sign</t>
  </si>
  <si>
    <t>Code_Repadm</t>
  </si>
  <si>
    <t>Code_RepTech</t>
  </si>
  <si>
    <t>Code_Consultant</t>
  </si>
  <si>
    <t>NouveauExistant</t>
  </si>
  <si>
    <t>Aide combine max</t>
  </si>
  <si>
    <t>HCFC-22 (R-22)</t>
  </si>
  <si>
    <t>CHClF2</t>
  </si>
  <si>
    <t>0,04(HFC-134a)+0,44(HFC-125)+0,52(HFC-143a)</t>
  </si>
  <si>
    <t>0,4(HFC-134a)+0,4(HFC-125)+0,2(HFC-32)</t>
  </si>
  <si>
    <t>R-507a</t>
  </si>
  <si>
    <t>0,5(HFC-125)+0,5(HFC-143a)</t>
  </si>
  <si>
    <t>NH3</t>
  </si>
  <si>
    <t>Internation Institute of Ammonia Refrigeration  (IIAR) www.iiar.org</t>
  </si>
  <si>
    <t>R-422D</t>
  </si>
  <si>
    <t>0,651(HFC-125)+0,315(HFC-134a)+0,034*(600a)</t>
  </si>
  <si>
    <t>CH3Br</t>
  </si>
  <si>
    <t>CCl3F</t>
  </si>
  <si>
    <t>CCl2FCClF2</t>
  </si>
  <si>
    <t>CClF2CClF2</t>
  </si>
  <si>
    <t>CClF2CF3</t>
  </si>
  <si>
    <t>CCl2F2</t>
  </si>
  <si>
    <t>CClF3</t>
  </si>
  <si>
    <t>CBrF3</t>
  </si>
  <si>
    <t>Halon-1211</t>
  </si>
  <si>
    <t>CBrClF2</t>
  </si>
  <si>
    <t>Halon-2402</t>
  </si>
  <si>
    <t>CBrF2CBrF2</t>
  </si>
  <si>
    <t>CHCl2CF3</t>
  </si>
  <si>
    <t>CHClFCF3</t>
  </si>
  <si>
    <t>CH3CCl2F</t>
  </si>
  <si>
    <t>CH3CClF2</t>
  </si>
  <si>
    <t>CHCl2CF2CF3</t>
  </si>
  <si>
    <t>CHClFCF2CClF2</t>
  </si>
  <si>
    <t>HFC-125</t>
  </si>
  <si>
    <t>Méthane (R-50)</t>
  </si>
  <si>
    <t>CH3CCl3</t>
  </si>
  <si>
    <t>Oxyde nitreux (R-744a)</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</si>
  <si>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</si>
  <si>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</si>
  <si>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Perfluorocyclobutane (PFC-318)</t>
  </si>
  <si>
    <t>Perfluoroéthane (PFC-116)</t>
  </si>
  <si>
    <t>Perfluorométhane (PFC-14)</t>
  </si>
  <si>
    <t>Privé (Industriel optimisation réfrigération)</t>
  </si>
  <si>
    <t>Perfluoropropane (PFC-218)</t>
  </si>
  <si>
    <t>R-400</t>
  </si>
  <si>
    <t>0,5(CFC-12)+0,5(CFC-114)</t>
  </si>
  <si>
    <t>0,53(HCFC-22)+0,34(HCFC-124)+0,13(HFC-152a)</t>
  </si>
  <si>
    <t>0,61(HCFC-22)+0,28(HCFC-124)+0,11(HFC-152a)</t>
  </si>
  <si>
    <t>0,33(HCFC-22)+0,15(HFC-152a)+0,52(HCFC-124)</t>
  </si>
  <si>
    <t>0,6(HFC-125)+0,38(HCFC-22)+0,02(C3H8)</t>
  </si>
  <si>
    <t>0,38(HFC-125)+0,60(HCFC-22)+0,02(C3H8)</t>
  </si>
  <si>
    <t>0,05(C3H8)+0,56(HCFC-22)+0,39(C3F8)</t>
  </si>
  <si>
    <t>0,55(HCFC-22)+,04(R-600a)+0,41(HCFC-142b)</t>
  </si>
  <si>
    <t>0,1(HFC-32)+0,7(HFC-125)+0,2(HFC-134a)</t>
  </si>
  <si>
    <t>0,23(HFC-32)+0,25(HFC-125)+0,52(HFC-134a)</t>
  </si>
  <si>
    <t>R-407D</t>
  </si>
  <si>
    <t>0,15(HFC-32)+0,15(HFC-125)+0,7(HFC-134a)</t>
  </si>
  <si>
    <t>R-407E</t>
  </si>
  <si>
    <t>0,25(HFC-32)+0,15(HFC-125)+0,6(HFC-134a)</t>
  </si>
  <si>
    <t>0,47(HCFC-22)+0,46(HFC-143a)+0,07(HFC-125)</t>
  </si>
  <si>
    <t>0,6(HCFC-22)+0,25(HCFC-124)+0,15(HCFC-142b)</t>
  </si>
  <si>
    <t>R-409B</t>
  </si>
  <si>
    <t>0,65(HCFC-22)+0,25(HCFC-124)+0,1(HCFC-142b)</t>
  </si>
  <si>
    <t>0,5(HFC-125)+0,5(HFC-32)</t>
  </si>
  <si>
    <t>0,45(HFC-125)+0,55(HFC-32)</t>
  </si>
  <si>
    <t>Caractéristique des systèmes de réfrigération</t>
  </si>
  <si>
    <t>Description sommaire des activités du site</t>
  </si>
  <si>
    <t>0,015*(R-1270)+0,875(HFC-22)+,11(HFC-152a)</t>
  </si>
  <si>
    <t>0,03*(R-1270)+0,94(HFC-22)+,03(HFC-152a)</t>
  </si>
  <si>
    <t>0,7(HCFC-22)+0,05(PFC-218)+0,25(HCFC-142b)</t>
  </si>
  <si>
    <t>0,09(PFC-218)+0,88(HFC-134a)+0,03*(600a)</t>
  </si>
  <si>
    <t>0,51(R-22)+0,285(HCFC-124)+,04*(600a)+0,165(142b)</t>
  </si>
  <si>
    <t>0,5(R-22)+0,39(HCFC-124)+,015*(600a)+0,095(142b)</t>
  </si>
  <si>
    <t>R-415A</t>
  </si>
  <si>
    <t>Optimisation réfrigération</t>
  </si>
  <si>
    <t>Émissions Fugitives</t>
  </si>
  <si>
    <t>Autres procédés</t>
  </si>
  <si>
    <t>72</t>
  </si>
  <si>
    <t>Forintek avec valeur de la biomasse pour les émissions</t>
  </si>
  <si>
    <t>Écorces</t>
  </si>
  <si>
    <t>Biomasse résiduelle</t>
  </si>
  <si>
    <t>Fugitive</t>
  </si>
  <si>
    <t>m²</t>
  </si>
  <si>
    <t>pi²</t>
  </si>
  <si>
    <t>GJ/an</t>
  </si>
  <si>
    <t>GES (t/an)</t>
  </si>
  <si>
    <t>Teneur
Humidité
%</t>
  </si>
  <si>
    <t>TH</t>
  </si>
  <si>
    <t>AidedemR</t>
  </si>
  <si>
    <t>Oui</t>
  </si>
  <si>
    <t>Non</t>
  </si>
  <si>
    <t>Gestion d'énergie</t>
  </si>
  <si>
    <t>Traditionnelles</t>
  </si>
  <si>
    <t>Énergies émergentes</t>
  </si>
  <si>
    <t>Technologies du Développement Durables Canada</t>
  </si>
  <si>
    <t>Banque de développement du Canada</t>
  </si>
  <si>
    <t>Centre de développement économique</t>
  </si>
  <si>
    <t xml:space="preserve">Date du rapport : </t>
  </si>
  <si>
    <t>Unité prod.</t>
  </si>
  <si>
    <t>Sous-total</t>
  </si>
  <si>
    <t>Emprunt</t>
  </si>
  <si>
    <t>Biocharbon</t>
  </si>
  <si>
    <t>Recom</t>
  </si>
  <si>
    <t>RecomC</t>
  </si>
  <si>
    <t>R-448A</t>
  </si>
  <si>
    <t>R-290</t>
  </si>
  <si>
    <t>Énergir</t>
  </si>
  <si>
    <t>Fédéral</t>
  </si>
  <si>
    <t>MEI</t>
  </si>
  <si>
    <t>Ministére de la Santé et des Services Sociaux</t>
  </si>
  <si>
    <t>Ministère de l'Agriculture, des Pêcheries et de l'Alimentation du Québec</t>
  </si>
  <si>
    <t>HQ</t>
  </si>
  <si>
    <t>Ministère des Transports du Québec</t>
  </si>
  <si>
    <t>Ministère de l'Économie et de l'Innovation</t>
  </si>
  <si>
    <t>Ministère de l'Éducation</t>
  </si>
  <si>
    <t>ME</t>
  </si>
  <si>
    <t>Gestion de l'énergie</t>
  </si>
  <si>
    <t>Développement</t>
  </si>
  <si>
    <t>IQ</t>
  </si>
  <si>
    <t>Correspondant principal avec le ministère</t>
  </si>
  <si>
    <t>Eff_énergétique</t>
  </si>
  <si>
    <t>Résultats du projet</t>
  </si>
  <si>
    <t>Consommation annuelle d'énergie de référence du site</t>
  </si>
  <si>
    <t>FO_ECOPERF_V1</t>
  </si>
  <si>
    <t>A-Volet</t>
  </si>
  <si>
    <t>Remplissez l'onglet Autres sites si nécessaire au besoin.</t>
  </si>
  <si>
    <t>Nom du site</t>
  </si>
  <si>
    <r>
      <t xml:space="preserve">aaaa-mm-jj </t>
    </r>
    <r>
      <rPr>
        <sz val="8"/>
        <rFont val="Wingdings 3"/>
        <family val="1"/>
      </rPr>
      <t>Ú</t>
    </r>
  </si>
  <si>
    <t>(aaaa-mm-jj)</t>
  </si>
  <si>
    <t xml:space="preserve">    (aaaa-mm-jj)</t>
  </si>
  <si>
    <t xml:space="preserve">     (aaaa-mm-jj)</t>
  </si>
  <si>
    <r>
      <rPr>
        <b/>
        <sz val="10"/>
        <rFont val="Arial"/>
        <family val="2"/>
      </rPr>
      <t xml:space="preserve">Note : </t>
    </r>
    <r>
      <rPr>
        <sz val="10"/>
        <rFont val="Arial"/>
        <family val="2"/>
      </rPr>
      <t>Veuillez vous assurer que cette section est correctement remplie puisqu'elle sert à déterminer la consommation du site ainsi que l'aide financière.</t>
    </r>
  </si>
  <si>
    <t>MELCCFP</t>
  </si>
  <si>
    <t>Ministère de l’Environnement, de la Lutte contre les changements climatiques, de la Faune et des Parcs</t>
  </si>
  <si>
    <t>Signataire autorisé</t>
  </si>
  <si>
    <t>Date (aaaa-mm-jj)</t>
  </si>
  <si>
    <t>Documents obligatoires à fournir</t>
  </si>
  <si>
    <t>Documents facultatifs à fournir</t>
  </si>
  <si>
    <r>
      <t xml:space="preserve">   </t>
    </r>
    <r>
      <rPr>
        <b/>
        <sz val="8"/>
        <color indexed="9"/>
        <rFont val="Arial"/>
        <family val="2"/>
      </rPr>
      <t>Tout autre document pertinent</t>
    </r>
    <r>
      <rPr>
        <i/>
        <sz val="8"/>
        <color indexed="9"/>
        <rFont val="Arial"/>
        <family val="2"/>
      </rPr>
      <t xml:space="preserve"> (précisez)</t>
    </r>
  </si>
  <si>
    <t>Précisez si nécessaire</t>
  </si>
  <si>
    <t>Mesure n°</t>
  </si>
  <si>
    <t>Forme d'énergie ou PRP</t>
  </si>
  <si>
    <r>
      <t xml:space="preserve">Quantité/unité    de production           </t>
    </r>
    <r>
      <rPr>
        <sz val="6"/>
        <rFont val="Arial"/>
        <family val="2"/>
      </rPr>
      <t>(si applicable)</t>
    </r>
  </si>
  <si>
    <t>PRI</t>
  </si>
  <si>
    <t>Engagement 
(maximum 10 ans)</t>
  </si>
  <si>
    <t>Recommandation</t>
  </si>
  <si>
    <t>Action</t>
  </si>
  <si>
    <t>Aide financière demandée au MELCCFP</t>
  </si>
  <si>
    <t>Quantité/unité    de production           (si applicable)</t>
  </si>
  <si>
    <t>Écart par rapport
à l'objectif (+/-)</t>
  </si>
  <si>
    <t>Source
de l'aide</t>
  </si>
  <si>
    <t>N° de soumission
ou heures main-
d’œuvre interne</t>
  </si>
  <si>
    <r>
      <rPr>
        <b/>
        <sz val="10"/>
        <color indexed="10"/>
        <rFont val="Arial"/>
        <family val="2"/>
      </rPr>
      <t>Important :</t>
    </r>
    <r>
      <rPr>
        <b/>
        <sz val="10"/>
        <rFont val="Arial"/>
        <family val="2"/>
      </rPr>
      <t xml:space="preserve"> </t>
    </r>
    <r>
      <rPr>
        <sz val="10"/>
        <rFont val="Arial"/>
        <family val="2"/>
      </rPr>
      <t xml:space="preserve">Veuillez consultez le </t>
    </r>
    <r>
      <rPr>
        <u val="single"/>
        <sz val="10"/>
        <color indexed="39"/>
        <rFont val="Arial"/>
        <family val="2"/>
      </rPr>
      <t>Guide du participant</t>
    </r>
    <r>
      <rPr>
        <sz val="10"/>
        <color indexed="39"/>
        <rFont val="Arial"/>
        <family val="2"/>
      </rPr>
      <t xml:space="preserve"> </t>
    </r>
    <r>
      <rPr>
        <sz val="10"/>
        <rFont val="Arial"/>
        <family val="2"/>
      </rPr>
      <t>avant de remplir cette section. Veuillez remplir de gauche à droite, certains champs dépendent du résultat qui précède.</t>
    </r>
  </si>
  <si>
    <r>
      <t>TOTAL DES COÛTS DU PROJET</t>
    </r>
    <r>
      <rPr>
        <sz val="8"/>
        <rFont val="Arial"/>
        <family val="2"/>
      </rPr>
      <t xml:space="preserve"> (reportez ce montant à la section </t>
    </r>
    <r>
      <rPr>
        <b/>
        <sz val="8"/>
        <rFont val="Arial"/>
        <family val="2"/>
      </rPr>
      <t>K</t>
    </r>
    <r>
      <rPr>
        <sz val="8"/>
        <rFont val="Arial"/>
        <family val="2"/>
      </rPr>
      <t xml:space="preserve"> du formulaire)</t>
    </r>
  </si>
  <si>
    <r>
      <t xml:space="preserve">Montant d'aide financière MAXIMALE demandé
</t>
    </r>
    <r>
      <rPr>
        <sz val="7"/>
        <rFont val="Arial"/>
        <family val="2"/>
      </rPr>
      <t>Si aucun montant n'est inscrit, l'aide financière maximale sera accordée.</t>
    </r>
  </si>
  <si>
    <t>Coûts du scénario de référence</t>
  </si>
  <si>
    <t>Coûts du scénario de projet</t>
  </si>
  <si>
    <t>GJ/Production</t>
  </si>
  <si>
    <t>* Consommation d'énergie thermique non électrique de plus de 36 TJ.</t>
  </si>
  <si>
    <r>
      <t xml:space="preserve">   Plan d'affaires </t>
    </r>
    <r>
      <rPr>
        <sz val="8"/>
        <rFont val="Arial"/>
        <family val="2"/>
      </rPr>
      <t>(pourrait être exigé)</t>
    </r>
  </si>
  <si>
    <t xml:space="preserve">                         </t>
  </si>
  <si>
    <t>Nom de l'entreprise</t>
  </si>
  <si>
    <t>Instructions générales</t>
  </si>
  <si>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</si>
  <si>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r>
      <rPr>
        <b/>
        <sz val="10"/>
        <color indexed="10"/>
        <rFont val="Arial"/>
        <family val="2"/>
      </rPr>
      <t>Important :</t>
    </r>
    <r>
      <rPr>
        <sz val="10"/>
        <rFont val="Arial"/>
        <family val="2"/>
      </rPr>
      <t xml:space="preserve"> Veuillez lire l'onglet </t>
    </r>
    <r>
      <rPr>
        <b/>
        <sz val="10"/>
        <rFont val="Arial"/>
        <family val="2"/>
      </rPr>
      <t>Instructions</t>
    </r>
    <r>
      <rPr>
        <sz val="10"/>
        <rFont val="Arial"/>
        <family val="2"/>
      </rPr>
      <t xml:space="preserve"> et consultez le </t>
    </r>
    <r>
      <rPr>
        <u val="single"/>
        <sz val="10"/>
        <color indexed="39"/>
        <rFont val="Arial"/>
        <family val="2"/>
      </rPr>
      <t>Guide du participant</t>
    </r>
    <r>
      <rPr>
        <sz val="10"/>
        <rFont val="Arial"/>
        <family val="2"/>
      </rPr>
      <t xml:space="preserve"> avant de remplir votre demande. Les champs en surbrillance rouge sont obligatoires.</t>
    </r>
  </si>
  <si>
    <t>fuites_Actuel</t>
  </si>
  <si>
    <t>fuites_prevu</t>
  </si>
  <si>
    <t>Émissions_fugitives</t>
  </si>
  <si>
    <r>
      <rPr>
        <b/>
        <sz val="10"/>
        <rFont val="Arial"/>
        <family val="2"/>
      </rPr>
      <t xml:space="preserve">Note : </t>
    </r>
    <r>
      <rPr>
        <sz val="10"/>
        <rFont val="Arial"/>
        <family val="2"/>
      </rPr>
      <t>Cette section est seulement à titre indicatif. Les données seront recalculées après l'analyse du dossier.</t>
    </r>
  </si>
  <si>
    <r>
      <t xml:space="preserve">   États financiers vérifiés des deux dernières années </t>
    </r>
    <r>
      <rPr>
        <sz val="8"/>
        <rFont val="Arial"/>
        <family val="2"/>
      </rPr>
      <t xml:space="preserve">(pourraient être exigés) </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</si>
  <si>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</si>
  <si>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</si>
  <si>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t>Capacité (t)</t>
  </si>
  <si>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</si>
  <si>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t>Degrés-jour de chauffe</t>
  </si>
  <si>
    <t>R-717</t>
  </si>
  <si>
    <t>Dioxyde de carbone (R-744)</t>
  </si>
  <si>
    <t>HFE-263mf</t>
  </si>
  <si>
    <t>HFE-365mcf3</t>
  </si>
  <si>
    <t>R-1234yf</t>
  </si>
  <si>
    <t>R-1234ze</t>
  </si>
  <si>
    <t>R-1270 (Propylène)</t>
  </si>
  <si>
    <t>R-600a</t>
  </si>
  <si>
    <t>R-600</t>
  </si>
  <si>
    <t>R-601</t>
  </si>
  <si>
    <t>Chlorure de méthylène</t>
  </si>
  <si>
    <t>R-601a</t>
  </si>
  <si>
    <t>Chlorure de méthyle</t>
  </si>
  <si>
    <t>Chloroforme</t>
  </si>
  <si>
    <t>HFE-569sf2 (HFE-7200)</t>
  </si>
  <si>
    <t>Méthyl chloroforme</t>
  </si>
  <si>
    <t>Halon-1201</t>
  </si>
  <si>
    <t>HFE-356mec3</t>
  </si>
  <si>
    <t>HFE-356pcc3</t>
  </si>
  <si>
    <t>HFE-449sl (HFE-7100)</t>
  </si>
  <si>
    <t>HFE-356pcf3</t>
  </si>
  <si>
    <t>R-454b</t>
  </si>
  <si>
    <t>HCFE-235da2</t>
  </si>
  <si>
    <t>HFE-143a</t>
  </si>
  <si>
    <t>HFE-347mcc3</t>
  </si>
  <si>
    <t>R-450A</t>
  </si>
  <si>
    <t>R-513A</t>
  </si>
  <si>
    <t>HFE-374pc2</t>
  </si>
  <si>
    <t>HFE-245cb2</t>
  </si>
  <si>
    <t>HFE-356pcf2</t>
  </si>
  <si>
    <t>HFE-245fa2</t>
  </si>
  <si>
    <t>HFE-245fa1</t>
  </si>
  <si>
    <t>HFE-347mcf2</t>
  </si>
  <si>
    <t>HFE-347pcf2</t>
  </si>
  <si>
    <t>HFE-338mcf2</t>
  </si>
  <si>
    <t>HFE-236fa</t>
  </si>
  <si>
    <t>R-449a</t>
  </si>
  <si>
    <t>HFE-236ea2</t>
  </si>
  <si>
    <t>HFE-43-10pccc124 (H-Galden 1040x)</t>
  </si>
  <si>
    <t>HFE-338pcc13 (HG-01)</t>
  </si>
  <si>
    <t>HFE-329mcc2</t>
  </si>
  <si>
    <t>HFE-236ca12 (HG-10)</t>
  </si>
  <si>
    <t>HFE-134</t>
  </si>
  <si>
    <t>HFE-227ea</t>
  </si>
  <si>
    <t>Perfluorohexane (PFC-51-14)</t>
  </si>
  <si>
    <t>Perfluoropentane (PFC-41-12)</t>
  </si>
  <si>
    <t>Perfluorobutane (PFC-31-10)</t>
  </si>
  <si>
    <t>PFPMIE</t>
  </si>
  <si>
    <t>HFE-125</t>
  </si>
  <si>
    <t>CF3CH2OCH3</t>
  </si>
  <si>
    <t>CF3CF2CH2OCH3</t>
  </si>
  <si>
    <t>CF3CFCH2</t>
  </si>
  <si>
    <t>CF3CHCHF</t>
  </si>
  <si>
    <t>C3H6</t>
  </si>
  <si>
    <t>Isobutane</t>
  </si>
  <si>
    <t>C3H8 (Propane)</t>
  </si>
  <si>
    <t>CH3CH2F (Initialement: C2H5F)</t>
  </si>
  <si>
    <t>Pentane</t>
  </si>
  <si>
    <t>CH2Cl2</t>
  </si>
  <si>
    <t>Isopentane</t>
  </si>
  <si>
    <t>CH3Cl</t>
  </si>
  <si>
    <t>CHCl3</t>
  </si>
  <si>
    <t>C4F9OC2H5</t>
  </si>
  <si>
    <t>CH3CHF2 (Initialement C2H4F2)</t>
  </si>
  <si>
    <t>CH2FCHF2 (Initialement C2H3F3)</t>
  </si>
  <si>
    <t>CHBrF2</t>
  </si>
  <si>
    <t>CH3OCF2CHFCF3</t>
  </si>
  <si>
    <t>CH3OCF2CF2CHF2</t>
  </si>
  <si>
    <t>C4F9OCH3</t>
  </si>
  <si>
    <t>CHF2OCH2CF2CHF2</t>
  </si>
  <si>
    <t>31,1 % R-1234yf / 68,9 % R-32</t>
  </si>
  <si>
    <t>CHF2OCHCLCF3</t>
  </si>
  <si>
    <t>CH3OCF3</t>
  </si>
  <si>
    <t>CH3OCF2CF2CF3</t>
  </si>
  <si>
    <t>0,42(134a)+0,58(1234ze)</t>
  </si>
  <si>
    <t>0,44(R134a) + 0,56(R1234yf) Mélange</t>
  </si>
  <si>
    <t>CHF2CF2OCH2CH3</t>
  </si>
  <si>
    <t>CF3CF2OCH3 (InitialementCH3OCHCLCF3)</t>
  </si>
  <si>
    <t>CH2FCF2CHF2 (Initialement: C3H3F5)</t>
  </si>
  <si>
    <t>CHF2CH2OCF2CHF2</t>
  </si>
  <si>
    <t>CH3CF2CH2CF3 (Initialement: C4H5F5)</t>
  </si>
  <si>
    <t>CHF2OCH2CF3</t>
  </si>
  <si>
    <t>CHF2CH2OCF3</t>
  </si>
  <si>
    <t>CHF2CH2OCF2CF3</t>
  </si>
  <si>
    <t>CHF2CH2CF3</t>
  </si>
  <si>
    <t>CHF2CH2CF3 (Initialement: C3H3F5)</t>
  </si>
  <si>
    <t>CHF2CF2OCH2CF3 (Initialement CHF2OCH2CF3)</t>
  </si>
  <si>
    <t>CF3CH2OCF2CF3</t>
  </si>
  <si>
    <t>CF3CH2OCF3</t>
  </si>
  <si>
    <t>CH2FCF2CF3 (Initialement: C3H2F6)</t>
  </si>
  <si>
    <t>26%R-32/26%R-125/21%R-134a/7%R-1234ze/20%R-1234yf</t>
  </si>
  <si>
    <t>24,3%R-32/24,7%R-125/25,7%R-134a/25,3%R-1234yf</t>
  </si>
  <si>
    <t>CHF2CHFCF3 (Intialement: C3H2F6)</t>
  </si>
  <si>
    <t>CF3CHFCHFCF2CF3 (Intialement: C5H2F10)</t>
  </si>
  <si>
    <t>CHF2OCHFCF3</t>
  </si>
  <si>
    <t>0,5(HFC-134a)+0,466(HFC-125)+0,034(600)</t>
  </si>
  <si>
    <t>0,77(HFC-125)+0,19(HFC-134a)+0,04(E170)</t>
  </si>
  <si>
    <t>CHF2OCF2OC2F4OCHF2</t>
  </si>
  <si>
    <t>CHF2OCF2CF2OCHF2</t>
  </si>
  <si>
    <t>CHF2CF2OCF2CF3</t>
  </si>
  <si>
    <t>0,05(R290)+0,75(HCFC-22)+0,2(PFC-218)</t>
  </si>
  <si>
    <t>CHF2CF3 (Initialement C2HF5)</t>
  </si>
  <si>
    <t>CF3CHFCF3 (Initialement: C3HF7)</t>
  </si>
  <si>
    <t>0,775(HFC125)+0,2(HFC143a)+0,006(C3H8)+0,019(600a)</t>
  </si>
  <si>
    <t>0,45(22)+0,07(152a)+0,055(142b)+0,425(PFC-318)</t>
  </si>
  <si>
    <t>CH3CF3 (Initialement C2H3F3)</t>
  </si>
  <si>
    <t>CHF2OCF2OCHF2</t>
  </si>
  <si>
    <t>CHF2OCHF2</t>
  </si>
  <si>
    <t>CF3CHFOCF3</t>
  </si>
  <si>
    <t>n-C6F14</t>
  </si>
  <si>
    <t>CF3CH2CF3 (Intialement: C3H2F6)</t>
  </si>
  <si>
    <t>n-C5F12</t>
  </si>
  <si>
    <t>CF3OCF(CF3)CF2OCF2OCF3</t>
  </si>
  <si>
    <t>CHF2OCF3</t>
  </si>
  <si>
    <t>IPCC Fifth Assessment Report, 2014 (AR5)</t>
  </si>
  <si>
    <t>Linde (source IPCC 2007 AR4)</t>
  </si>
  <si>
    <t>Bilan des achats et des ventes d’halocarbures et des reprises d’halocarbures usés en 2017 et 2018 au Québec, Annexe1, MELCC</t>
  </si>
  <si>
    <t>Facteur calculé selon la composition du produit</t>
  </si>
  <si>
    <t>Facteur calculé selon la composition du produit (E170 négligé)</t>
  </si>
  <si>
    <t>1. Si Microsoft bloque l’exécution des macros (bandeau rouge au haut de la page)</t>
  </si>
  <si>
    <t>›  Ouvrez le formulaire; l’exécution des macros sera maintenant possible.</t>
  </si>
  <si>
    <t>2. AVANT de remplir le formulaire, enregistrez-le sur votre ordinateur</t>
  </si>
  <si>
    <t>3. Activez les macros du formulaire.</t>
  </si>
  <si>
    <t>4. Pour chacun des onglets, suivez l'ordre des étapes proposées.</t>
  </si>
  <si>
    <t>5. Si vous effectuez du copier-coller à partir d'un autre document, il est important de copier uniquement les valeurs sélectionnées afin de ne pas modifier le format des cellules du présent formulaire.</t>
  </si>
  <si>
    <t>6. Remplissez les champs du formulaire en minuscules.</t>
  </si>
  <si>
    <r>
      <t xml:space="preserve">›  Fermez le fichier et cliquez sur ce dernier avec le bouton droit de votre souris, puis, sélectionnez </t>
    </r>
    <r>
      <rPr>
        <b/>
        <sz val="10"/>
        <color indexed="8"/>
        <rFont val="Arial"/>
        <family val="2"/>
      </rPr>
      <t>Propriétés</t>
    </r>
    <r>
      <rPr>
        <sz val="10"/>
        <color indexed="8"/>
        <rFont val="Arial"/>
        <family val="2"/>
      </rPr>
      <t>;</t>
    </r>
  </si>
  <si>
    <r>
      <t xml:space="preserve">›  Cochez la case </t>
    </r>
    <r>
      <rPr>
        <b/>
        <sz val="10"/>
        <color indexed="8"/>
        <rFont val="Arial"/>
        <family val="2"/>
      </rPr>
      <t>Débloquer</t>
    </r>
    <r>
      <rPr>
        <sz val="10"/>
        <color indexed="8"/>
        <rFont val="Arial"/>
        <family val="2"/>
      </rPr>
      <t xml:space="preserve"> à la sous-section </t>
    </r>
    <r>
      <rPr>
        <b/>
        <sz val="10"/>
        <color indexed="8"/>
        <rFont val="Arial"/>
        <family val="2"/>
      </rPr>
      <t>Sécurité</t>
    </r>
    <r>
      <rPr>
        <sz val="10"/>
        <color indexed="8"/>
        <rFont val="Arial"/>
        <family val="2"/>
      </rPr>
      <t xml:space="preserve"> et cliquez sur </t>
    </r>
    <r>
      <rPr>
        <b/>
        <sz val="10"/>
        <color indexed="8"/>
        <rFont val="Arial"/>
        <family val="2"/>
      </rPr>
      <t>Appliquer</t>
    </r>
    <r>
      <rPr>
        <sz val="10"/>
        <color indexed="8"/>
        <rFont val="Arial"/>
        <family val="2"/>
      </rPr>
      <t>;</t>
    </r>
  </si>
  <si>
    <t>Description sommaire du participant</t>
  </si>
  <si>
    <t>participant</t>
  </si>
  <si>
    <t>Participant</t>
  </si>
  <si>
    <t>Nom du participant :</t>
  </si>
  <si>
    <t>Plan d'action et suivi par le participant</t>
  </si>
  <si>
    <r>
      <t>Plan d'action et suivi par le</t>
    </r>
    <r>
      <rPr>
        <b/>
        <sz val="7"/>
        <color indexed="9"/>
        <rFont val="Calibri"/>
        <family val="2"/>
      </rPr>
      <t> </t>
    </r>
    <r>
      <rPr>
        <b/>
        <sz val="7"/>
        <color indexed="9"/>
        <rFont val="Arial"/>
        <family val="2"/>
      </rPr>
      <t>participant</t>
    </r>
  </si>
  <si>
    <t>B-Organisme participant</t>
  </si>
  <si>
    <t>N° de la convention d'aide financière (CAF) :</t>
  </si>
  <si>
    <t>N° de la CAF :</t>
  </si>
  <si>
    <t>Date prévue de fin du mesurage</t>
  </si>
  <si>
    <t>515</t>
  </si>
  <si>
    <t>Certification de la norme ISO 50001 par un organisme de certification accrédité</t>
  </si>
  <si>
    <t>50.5</t>
  </si>
  <si>
    <t>Accompagnement, audits</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</si>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</sst>
</file>

<file path=xl/styles.xml><?xml version="1.0" encoding="utf-8"?>
<styleSheet xmlns="http://schemas.openxmlformats.org/spreadsheetml/2006/main">
  <numFmts count="4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
    <numFmt numFmtId="175" formatCode="0.000"/>
    <numFmt numFmtId="176" formatCode="#,##0.0"/>
    <numFmt numFmtId="177" formatCode="[$-C0C]d\ mmmm\ yyyy"/>
    <numFmt numFmtId="178" formatCode="dd/mm/yy;@"/>
    <numFmt numFmtId="179" formatCode="_ * #,##0_)\ &quot;$&quot;_ ;_ * \(#,##0\)\ &quot;$&quot;_ ;_ * &quot;-&quot;??_)\ &quot;$&quot;_ ;_ @_ "/>
    <numFmt numFmtId="180" formatCode="&quot;Vrai&quot;;&quot;Vrai&quot;;&quot;Faux&quot;"/>
    <numFmt numFmtId="181" formatCode="&quot;Actif&quot;;&quot;Actif&quot;;&quot;Inactif&quot;"/>
    <numFmt numFmtId="182" formatCode="#,##0.00\ &quot;$&quot;"/>
    <numFmt numFmtId="183" formatCode="yyyy\-mm\-dd;@"/>
    <numFmt numFmtId="184" formatCode="#,##0\ _$"/>
    <numFmt numFmtId="185" formatCode="#,##0\ &quot;$&quot;"/>
    <numFmt numFmtId="186" formatCode="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000\ &quot;$&quot;"/>
    <numFmt numFmtId="192" formatCode="#,##0.0000"/>
    <numFmt numFmtId="193" formatCode="#,##0.0\ &quot;$&quot;"/>
    <numFmt numFmtId="194" formatCode="_ * #,##0.0000_)\ &quot;$&quot;_ ;_ * \(#,##0.0000\)\ &quot;$&quot;_ ;_ * &quot;-&quot;????_)\ &quot;$&quot;_ ;_ @_ "/>
    <numFmt numFmtId="195" formatCode="#,##0.00000"/>
    <numFmt numFmtId="196" formatCode="#,##0.00000\ &quot;$&quot;"/>
    <numFmt numFmtId="197" formatCode="h:mm;@"/>
    <numFmt numFmtId="198" formatCode="#,##0.0_);\(#,##0.0\)"/>
    <numFmt numFmtId="199" formatCode="[$€-2]\ #,##0.00_);[Red]\([$€-2]\ #,##0.00\)"/>
    <numFmt numFmtId="200" formatCode="0.0,%"/>
  </numFmts>
  <fonts count="114">
    <font>
      <sz val="10"/>
      <name val="Arial"/>
      <family val="0"/>
    </font>
    <font>
      <b/>
      <sz val="10"/>
      <name val="Arial"/>
      <family val="2"/>
    </font>
    <font>
      <sz val="9"/>
      <name val="Arial"/>
      <family val="2"/>
    </font>
    <font>
      <b/>
      <sz val="12"/>
      <name val="Arial"/>
      <family val="2"/>
    </font>
    <font>
      <sz val="9"/>
      <color indexed="9"/>
      <name val="Arial"/>
      <family val="2"/>
    </font>
    <font>
      <b/>
      <sz val="14"/>
      <name val="Arial"/>
      <family val="2"/>
    </font>
    <font>
      <b/>
      <sz val="9"/>
      <name val="Arial"/>
      <family val="2"/>
    </font>
    <font>
      <sz val="8"/>
      <name val="Arial"/>
      <family val="2"/>
    </font>
    <font>
      <b/>
      <sz val="10"/>
      <color indexed="16"/>
      <name val="Arial"/>
      <family val="2"/>
    </font>
    <font>
      <b/>
      <sz val="8"/>
      <name val="Arial"/>
      <family val="2"/>
    </font>
    <font>
      <b/>
      <sz val="8.5"/>
      <name val="Arial"/>
      <family val="2"/>
    </font>
    <font>
      <sz val="10"/>
      <color indexed="16"/>
      <name val="Arial"/>
      <family val="2"/>
    </font>
    <font>
      <sz val="8"/>
      <color indexed="16"/>
      <name val="Arial"/>
      <family val="2"/>
    </font>
    <font>
      <b/>
      <sz val="18"/>
      <name val="Arial"/>
      <family val="2"/>
    </font>
    <font>
      <b/>
      <sz val="7"/>
      <name val="Arial"/>
      <family val="2"/>
    </font>
    <font>
      <sz val="7"/>
      <name val="Arial"/>
      <family val="2"/>
    </font>
    <font>
      <sz val="8"/>
      <name val="Tahoma"/>
      <family val="2"/>
    </font>
    <font>
      <u val="single"/>
      <sz val="10"/>
      <color indexed="12"/>
      <name val="Arial"/>
      <family val="2"/>
    </font>
    <font>
      <u val="single"/>
      <sz val="10"/>
      <color indexed="36"/>
      <name val="Arial"/>
      <family val="2"/>
    </font>
    <font>
      <vertAlign val="superscript"/>
      <sz val="8"/>
      <name val="Arial"/>
      <family val="2"/>
    </font>
    <font>
      <sz val="7"/>
      <color indexed="9"/>
      <name val="Arial"/>
      <family val="2"/>
    </font>
    <font>
      <b/>
      <sz val="20"/>
      <name val="Arial"/>
      <family val="2"/>
    </font>
    <font>
      <b/>
      <sz val="11"/>
      <name val="Arial"/>
      <family val="2"/>
    </font>
    <font>
      <i/>
      <sz val="10"/>
      <name val="Arial"/>
      <family val="2"/>
    </font>
    <font>
      <b/>
      <i/>
      <sz val="9"/>
      <name val="Arial"/>
      <family val="2"/>
    </font>
    <font>
      <u val="single"/>
      <sz val="8"/>
      <name val="Arial"/>
      <family val="2"/>
    </font>
    <font>
      <b/>
      <i/>
      <sz val="8"/>
      <name val="Arial"/>
      <family val="2"/>
    </font>
    <font>
      <i/>
      <sz val="8"/>
      <name val="Arial"/>
      <family val="2"/>
    </font>
    <font>
      <b/>
      <sz val="9"/>
      <name val="Verdana"/>
      <family val="2"/>
    </font>
    <font>
      <sz val="8"/>
      <color indexed="9"/>
      <name val="Arial"/>
      <family val="2"/>
    </font>
    <font>
      <sz val="10"/>
      <color indexed="8"/>
      <name val="Arial"/>
      <family val="2"/>
    </font>
    <font>
      <vertAlign val="subscript"/>
      <sz val="8"/>
      <name val="Arial"/>
      <family val="2"/>
    </font>
    <font>
      <sz val="8"/>
      <color indexed="8"/>
      <name val="Arial"/>
      <family val="2"/>
    </font>
    <font>
      <b/>
      <sz val="8"/>
      <color indexed="9"/>
      <name val="Arial"/>
      <family val="2"/>
    </font>
    <font>
      <sz val="10"/>
      <color indexed="9"/>
      <name val="Arial"/>
      <family val="2"/>
    </font>
    <font>
      <sz val="16"/>
      <name val="Chaloult_Cond_Demi_Gras"/>
      <family val="0"/>
    </font>
    <font>
      <sz val="6"/>
      <name val="Arial"/>
      <family val="2"/>
    </font>
    <font>
      <sz val="8"/>
      <name val="Wingdings 3"/>
      <family val="1"/>
    </font>
    <font>
      <i/>
      <sz val="8"/>
      <color indexed="9"/>
      <name val="Arial"/>
      <family val="2"/>
    </font>
    <font>
      <sz val="9"/>
      <name val="Tahoma"/>
      <family val="2"/>
    </font>
    <font>
      <u val="single"/>
      <sz val="10"/>
      <color indexed="39"/>
      <name val="Arial"/>
      <family val="2"/>
    </font>
    <font>
      <b/>
      <sz val="10"/>
      <color indexed="10"/>
      <name val="Arial"/>
      <family val="2"/>
    </font>
    <font>
      <sz val="10"/>
      <color indexed="39"/>
      <name val="Arial"/>
      <family val="2"/>
    </font>
    <font>
      <sz val="17"/>
      <name val="Chaloult_Cond_Demi_Gras"/>
      <family val="0"/>
    </font>
    <font>
      <b/>
      <sz val="8"/>
      <name val="Arial Narrow"/>
      <family val="2"/>
    </font>
    <font>
      <sz val="8"/>
      <name val="Arial Narrow"/>
      <family val="2"/>
    </font>
    <font>
      <b/>
      <sz val="10"/>
      <color indexed="8"/>
      <name val="Arial"/>
      <family val="2"/>
    </font>
    <font>
      <b/>
      <u val="single"/>
      <sz val="10"/>
      <name val="Arial"/>
      <family val="2"/>
    </font>
    <font>
      <sz val="11"/>
      <name val="Arial"/>
      <family val="2"/>
    </font>
    <font>
      <sz val="10"/>
      <color indexed="8"/>
      <name val="Calibri"/>
      <family val="2"/>
    </font>
    <font>
      <b/>
      <sz val="7"/>
      <color indexed="9"/>
      <name val="Arial"/>
      <family val="2"/>
    </font>
    <font>
      <b/>
      <sz val="7"/>
      <color indexed="9"/>
      <name val="Calibri"/>
      <family val="2"/>
    </font>
    <font>
      <sz val="11"/>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Arial"/>
      <family val="2"/>
    </font>
    <font>
      <b/>
      <sz val="9"/>
      <color indexed="9"/>
      <name val="Arial"/>
      <family val="2"/>
    </font>
    <font>
      <b/>
      <sz val="10"/>
      <color indexed="9"/>
      <name val="Arial"/>
      <family val="2"/>
    </font>
    <font>
      <b/>
      <sz val="8"/>
      <color indexed="8"/>
      <name val="Arial Narrow"/>
      <family val="2"/>
    </font>
    <font>
      <sz val="8"/>
      <color indexed="8"/>
      <name val="Arial Narrow"/>
      <family val="2"/>
    </font>
    <font>
      <b/>
      <sz val="11"/>
      <color indexed="9"/>
      <name val="Arial"/>
      <family val="2"/>
    </font>
    <font>
      <b/>
      <sz val="14"/>
      <color indexed="9"/>
      <name val="Arial"/>
      <family val="2"/>
    </font>
    <font>
      <sz val="8"/>
      <name val="Segoe UI"/>
      <family val="2"/>
    </font>
    <font>
      <b/>
      <sz val="17"/>
      <color indexed="9"/>
      <name val="Arial"/>
      <family val="0"/>
    </font>
    <font>
      <b/>
      <sz val="12"/>
      <color indexed="8"/>
      <name val="Arial"/>
      <family val="0"/>
    </font>
    <font>
      <i/>
      <sz val="8"/>
      <color indexed="8"/>
      <name val="Arial"/>
      <family val="0"/>
    </font>
    <font>
      <sz val="7"/>
      <color indexed="8"/>
      <name val="Arial"/>
      <family val="0"/>
    </font>
    <font>
      <b/>
      <sz val="15"/>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7"/>
      <color theme="0"/>
      <name val="Arial"/>
      <family val="2"/>
    </font>
    <font>
      <sz val="8"/>
      <color theme="0"/>
      <name val="Arial"/>
      <family val="2"/>
    </font>
    <font>
      <sz val="10"/>
      <color theme="0"/>
      <name val="Arial"/>
      <family val="2"/>
    </font>
    <font>
      <b/>
      <sz val="9"/>
      <color theme="0"/>
      <name val="Arial"/>
      <family val="2"/>
    </font>
    <font>
      <b/>
      <sz val="7"/>
      <color theme="0"/>
      <name val="Arial"/>
      <family val="2"/>
    </font>
    <font>
      <b/>
      <sz val="10"/>
      <color theme="0"/>
      <name val="Arial"/>
      <family val="2"/>
    </font>
    <font>
      <b/>
      <sz val="8"/>
      <color theme="0"/>
      <name val="Arial"/>
      <family val="2"/>
    </font>
    <font>
      <sz val="10"/>
      <color theme="1"/>
      <name val="Arial"/>
      <family val="2"/>
    </font>
    <font>
      <b/>
      <sz val="10"/>
      <color theme="1"/>
      <name val="Arial"/>
      <family val="2"/>
    </font>
    <font>
      <b/>
      <sz val="8"/>
      <color theme="1"/>
      <name val="Arial Narrow"/>
      <family val="2"/>
    </font>
    <font>
      <sz val="8"/>
      <color theme="1"/>
      <name val="Arial Narrow"/>
      <family val="2"/>
    </font>
    <font>
      <b/>
      <sz val="11"/>
      <color theme="0"/>
      <name val="Arial"/>
      <family val="2"/>
    </font>
    <font>
      <b/>
      <sz val="8"/>
      <color rgb="FFFFFFFF"/>
      <name val="Arial"/>
      <family val="2"/>
    </font>
    <font>
      <b/>
      <sz val="14"/>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63"/>
        <bgColor indexed="64"/>
      </patternFill>
    </fill>
    <fill>
      <patternFill patternType="solid">
        <fgColor rgb="FF9AC6D6"/>
        <bgColor indexed="64"/>
      </patternFill>
    </fill>
    <fill>
      <patternFill patternType="solid">
        <fgColor rgb="FF1C829A"/>
        <bgColor indexed="64"/>
      </patternFill>
    </fill>
    <fill>
      <patternFill patternType="solid">
        <fgColor theme="0" tint="-0.04997999966144562"/>
        <bgColor indexed="64"/>
      </patternFill>
    </fill>
    <fill>
      <patternFill patternType="solid">
        <fgColor rgb="FF7FB7CB"/>
        <bgColor indexed="64"/>
      </patternFill>
    </fill>
    <fill>
      <patternFill patternType="solid">
        <fgColor rgb="FFD2DADC"/>
        <bgColor indexed="64"/>
      </patternFill>
    </fill>
    <fill>
      <patternFill patternType="solid">
        <fgColor indexed="44"/>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color indexed="63"/>
      </top>
      <bottom style="thin"/>
    </border>
    <border>
      <left style="thin"/>
      <right style="thin"/>
      <top style="double"/>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double"/>
    </border>
    <border>
      <left style="thin"/>
      <right style="thin"/>
      <top style="double"/>
      <bottom style="double"/>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color indexed="63"/>
      </left>
      <right style="double"/>
      <top style="double"/>
      <bottom style="thin"/>
    </border>
    <border>
      <left>
        <color indexed="63"/>
      </left>
      <right style="double"/>
      <top style="thin"/>
      <bottom style="medium"/>
    </border>
    <border>
      <left style="thin"/>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style="double"/>
      <bottom>
        <color indexed="63"/>
      </bottom>
    </border>
    <border>
      <left style="double"/>
      <right style="thin"/>
      <top>
        <color indexed="63"/>
      </top>
      <bottom style="thin"/>
    </border>
    <border>
      <left style="double"/>
      <right style="thin"/>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style="medium"/>
      <top style="medium"/>
      <bottom style="medium"/>
    </border>
    <border>
      <left style="medium"/>
      <right style="double"/>
      <top style="medium"/>
      <bottom style="medium"/>
    </border>
    <border>
      <left style="thin"/>
      <right style="double"/>
      <top style="thin"/>
      <bottom style="thin"/>
    </border>
    <border>
      <left style="double"/>
      <right style="thin"/>
      <top style="thin"/>
      <bottom style="thin"/>
    </border>
    <border>
      <left>
        <color indexed="63"/>
      </left>
      <right>
        <color indexed="63"/>
      </right>
      <top style="medium">
        <color rgb="FF1C829A"/>
      </top>
      <bottom>
        <color indexed="63"/>
      </bottom>
    </border>
    <border>
      <left>
        <color indexed="63"/>
      </left>
      <right style="medium">
        <color rgb="FF1C829A"/>
      </right>
      <top style="medium">
        <color rgb="FF1C829A"/>
      </top>
      <bottom>
        <color indexed="63"/>
      </bottom>
    </border>
    <border>
      <left style="medium">
        <color rgb="FF1C829A"/>
      </left>
      <right>
        <color indexed="63"/>
      </right>
      <top>
        <color indexed="63"/>
      </top>
      <bottom>
        <color indexed="63"/>
      </bottom>
    </border>
    <border>
      <left>
        <color indexed="63"/>
      </left>
      <right style="medium">
        <color rgb="FF1C829A"/>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color rgb="FF1C829A"/>
      </left>
      <right>
        <color indexed="63"/>
      </right>
      <top style="medium">
        <color rgb="FF1C829A"/>
      </top>
      <bottom>
        <color indexed="63"/>
      </bottom>
    </border>
    <border>
      <left style="medium">
        <color rgb="FF1C829A"/>
      </left>
      <right>
        <color indexed="63"/>
      </right>
      <top style="thin">
        <color rgb="FF1C829A"/>
      </top>
      <bottom style="thin">
        <color rgb="FF1C829A"/>
      </bottom>
    </border>
    <border>
      <left>
        <color indexed="63"/>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thin"/>
      <bottom style="thin"/>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0" borderId="2" applyNumberFormat="0" applyFill="0" applyAlignment="0" applyProtection="0"/>
    <xf numFmtId="0" fontId="87" fillId="27" borderId="1" applyNumberFormat="0" applyAlignment="0" applyProtection="0"/>
    <xf numFmtId="0" fontId="88" fillId="2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29" borderId="0" applyNumberFormat="0" applyBorder="0" applyAlignment="0" applyProtection="0"/>
    <xf numFmtId="0" fontId="82"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30" borderId="3" applyNumberFormat="0" applyFont="0" applyAlignment="0" applyProtection="0"/>
    <xf numFmtId="9" fontId="0" fillId="0" borderId="0" applyFont="0" applyFill="0" applyBorder="0" applyAlignment="0" applyProtection="0"/>
    <xf numFmtId="0" fontId="90" fillId="31" borderId="0" applyNumberFormat="0" applyBorder="0" applyAlignment="0" applyProtection="0"/>
    <xf numFmtId="0" fontId="91" fillId="26" borderId="4"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2" borderId="9" applyNumberFormat="0" applyAlignment="0" applyProtection="0"/>
  </cellStyleXfs>
  <cellXfs count="1104">
    <xf numFmtId="0" fontId="0" fillId="0" borderId="0" xfId="0" applyAlignment="1">
      <alignment/>
    </xf>
    <xf numFmtId="0" fontId="2" fillId="33" borderId="0" xfId="0" applyFont="1" applyFill="1" applyAlignment="1" applyProtection="1">
      <alignment vertical="center"/>
      <protection/>
    </xf>
    <xf numFmtId="0" fontId="2" fillId="33" borderId="0" xfId="0" applyFont="1" applyFill="1" applyBorder="1" applyAlignment="1" applyProtection="1">
      <alignment/>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indent="1"/>
      <protection/>
    </xf>
    <xf numFmtId="0" fontId="2"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2" fillId="33" borderId="12" xfId="0" applyFont="1" applyFill="1" applyBorder="1" applyAlignment="1" applyProtection="1">
      <alignment vertical="center"/>
      <protection/>
    </xf>
    <xf numFmtId="0" fontId="2" fillId="33" borderId="0" xfId="0" applyFont="1" applyFill="1" applyBorder="1" applyAlignment="1" applyProtection="1">
      <alignment horizontal="centerContinuous" vertical="center"/>
      <protection/>
    </xf>
    <xf numFmtId="0" fontId="7" fillId="33" borderId="14"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2" fillId="33" borderId="0" xfId="0" applyFont="1" applyFill="1" applyBorder="1" applyAlignment="1" applyProtection="1">
      <alignment horizontal="left"/>
      <protection/>
    </xf>
    <xf numFmtId="0" fontId="2" fillId="33" borderId="16" xfId="0" applyFont="1" applyFill="1" applyBorder="1" applyAlignment="1" applyProtection="1">
      <alignment/>
      <protection/>
    </xf>
    <xf numFmtId="0" fontId="2" fillId="33" borderId="16" xfId="0" applyFont="1" applyFill="1" applyBorder="1" applyAlignment="1" applyProtection="1">
      <alignment horizontal="right"/>
      <protection/>
    </xf>
    <xf numFmtId="0" fontId="9" fillId="33" borderId="0" xfId="0" applyFont="1" applyFill="1" applyAlignment="1" applyProtection="1">
      <alignment vertical="center"/>
      <protection/>
    </xf>
    <xf numFmtId="0" fontId="10" fillId="33" borderId="0"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center"/>
    </xf>
    <xf numFmtId="0" fontId="7" fillId="0" borderId="0" xfId="0" applyFont="1" applyAlignment="1">
      <alignment/>
    </xf>
    <xf numFmtId="0" fontId="0" fillId="0" borderId="0" xfId="0" applyAlignment="1">
      <alignment horizontal="center"/>
    </xf>
    <xf numFmtId="0" fontId="0" fillId="0" borderId="0" xfId="0" applyBorder="1" applyAlignment="1">
      <alignment horizontal="left" vertical="center"/>
    </xf>
    <xf numFmtId="0" fontId="15" fillId="0" borderId="14" xfId="0" applyFont="1" applyBorder="1" applyAlignment="1" applyProtection="1">
      <alignment horizontal="center"/>
      <protection locked="0"/>
    </xf>
    <xf numFmtId="0" fontId="15" fillId="0" borderId="14" xfId="0" applyFont="1" applyBorder="1" applyAlignment="1" applyProtection="1">
      <alignment/>
      <protection locked="0"/>
    </xf>
    <xf numFmtId="0" fontId="15" fillId="0" borderId="20" xfId="0" applyFont="1" applyBorder="1" applyAlignment="1" applyProtection="1">
      <alignment horizontal="center"/>
      <protection locked="0"/>
    </xf>
    <xf numFmtId="0" fontId="15" fillId="0" borderId="20" xfId="0" applyFont="1" applyBorder="1" applyAlignment="1" applyProtection="1">
      <alignment/>
      <protection locked="0"/>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indent="1"/>
      <protection/>
    </xf>
    <xf numFmtId="0" fontId="3" fillId="0" borderId="0" xfId="0" applyFont="1" applyAlignment="1">
      <alignment/>
    </xf>
    <xf numFmtId="0" fontId="23" fillId="0" borderId="0" xfId="0" applyFont="1" applyAlignment="1">
      <alignment/>
    </xf>
    <xf numFmtId="0" fontId="7" fillId="0" borderId="0" xfId="0" applyFont="1" applyAlignment="1">
      <alignment horizontal="right"/>
    </xf>
    <xf numFmtId="0" fontId="0" fillId="0" borderId="0" xfId="0" applyFill="1" applyBorder="1" applyAlignment="1">
      <alignment/>
    </xf>
    <xf numFmtId="0" fontId="7" fillId="0" borderId="0" xfId="0" applyFont="1" applyFill="1" applyBorder="1" applyAlignment="1" applyProtection="1">
      <alignment horizontal="left" vertical="center" wrapText="1"/>
      <protection/>
    </xf>
    <xf numFmtId="0" fontId="0" fillId="0" borderId="21" xfId="0" applyFill="1" applyBorder="1" applyAlignment="1" applyProtection="1">
      <alignment/>
      <protection locked="0"/>
    </xf>
    <xf numFmtId="0" fontId="0" fillId="0" borderId="0" xfId="0" applyFill="1" applyBorder="1" applyAlignment="1" applyProtection="1">
      <alignment shrinkToFit="1"/>
      <protection locked="0"/>
    </xf>
    <xf numFmtId="0" fontId="0" fillId="0" borderId="13" xfId="0" applyFill="1" applyBorder="1" applyAlignment="1" applyProtection="1">
      <alignment/>
      <protection locked="0"/>
    </xf>
    <xf numFmtId="0" fontId="0" fillId="0" borderId="22" xfId="0" applyFill="1" applyBorder="1" applyAlignment="1" applyProtection="1">
      <alignment/>
      <protection locked="0"/>
    </xf>
    <xf numFmtId="0" fontId="0" fillId="0" borderId="0" xfId="0" applyFill="1" applyBorder="1" applyAlignment="1" applyProtection="1">
      <alignment/>
      <protection locked="0"/>
    </xf>
    <xf numFmtId="0" fontId="1" fillId="0" borderId="21" xfId="0" applyFont="1" applyFill="1" applyBorder="1" applyAlignment="1" applyProtection="1">
      <alignment/>
      <protection locked="0"/>
    </xf>
    <xf numFmtId="0" fontId="0" fillId="0" borderId="0" xfId="0" applyFill="1" applyBorder="1" applyAlignment="1" applyProtection="1">
      <alignment/>
      <protection locked="0"/>
    </xf>
    <xf numFmtId="0" fontId="0" fillId="0" borderId="23" xfId="0" applyFill="1" applyBorder="1" applyAlignment="1" applyProtection="1">
      <alignment/>
      <protection locked="0"/>
    </xf>
    <xf numFmtId="0" fontId="1" fillId="0" borderId="22" xfId="0" applyFont="1" applyFill="1" applyBorder="1" applyAlignment="1" applyProtection="1">
      <alignment/>
      <protection locked="0"/>
    </xf>
    <xf numFmtId="0" fontId="0" fillId="0" borderId="13" xfId="0" applyFill="1" applyBorder="1" applyAlignment="1" applyProtection="1">
      <alignment/>
      <protection locked="0"/>
    </xf>
    <xf numFmtId="0" fontId="0" fillId="0" borderId="0" xfId="0" applyFill="1" applyBorder="1" applyAlignment="1" applyProtection="1">
      <alignment vertical="center"/>
      <protection/>
    </xf>
    <xf numFmtId="0" fontId="0" fillId="0" borderId="0" xfId="0" applyAlignment="1" applyProtection="1">
      <alignment/>
      <protection/>
    </xf>
    <xf numFmtId="0" fontId="15" fillId="0" borderId="24" xfId="0" applyFont="1" applyBorder="1" applyAlignment="1" applyProtection="1">
      <alignment/>
      <protection locked="0"/>
    </xf>
    <xf numFmtId="0" fontId="14" fillId="0" borderId="25" xfId="0" applyFont="1" applyBorder="1" applyAlignment="1" applyProtection="1">
      <alignment horizontal="center" vertical="center"/>
      <protection/>
    </xf>
    <xf numFmtId="0" fontId="7"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7" fillId="33" borderId="0" xfId="0" applyFont="1" applyFill="1" applyBorder="1" applyAlignment="1" applyProtection="1">
      <alignment vertical="top"/>
      <protection/>
    </xf>
    <xf numFmtId="2" fontId="15" fillId="0" borderId="14" xfId="0" applyNumberFormat="1" applyFont="1" applyBorder="1" applyAlignment="1" applyProtection="1">
      <alignment/>
      <protection locked="0"/>
    </xf>
    <xf numFmtId="2" fontId="15" fillId="0" borderId="20" xfId="0" applyNumberFormat="1" applyFont="1" applyBorder="1" applyAlignment="1" applyProtection="1">
      <alignment/>
      <protection locked="0"/>
    </xf>
    <xf numFmtId="0" fontId="28" fillId="0" borderId="0" xfId="0" applyFont="1" applyFill="1" applyAlignment="1">
      <alignment/>
    </xf>
    <xf numFmtId="0" fontId="0" fillId="0" borderId="0" xfId="0" applyFont="1" applyAlignment="1">
      <alignment/>
    </xf>
    <xf numFmtId="0" fontId="0" fillId="0" borderId="0" xfId="0" applyFont="1" applyFill="1" applyAlignment="1">
      <alignment/>
    </xf>
    <xf numFmtId="0" fontId="2" fillId="0" borderId="0" xfId="0" applyFont="1" applyFill="1" applyAlignment="1" applyProtection="1">
      <alignment/>
      <protection/>
    </xf>
    <xf numFmtId="0" fontId="0"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17" xfId="0" applyFill="1" applyBorder="1" applyAlignment="1" applyProtection="1">
      <alignment/>
      <protection/>
    </xf>
    <xf numFmtId="0" fontId="0" fillId="33" borderId="13" xfId="0"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protection/>
    </xf>
    <xf numFmtId="0" fontId="7" fillId="33" borderId="16" xfId="0" applyFont="1" applyFill="1" applyBorder="1" applyAlignment="1" applyProtection="1">
      <alignment/>
      <protection/>
    </xf>
    <xf numFmtId="0" fontId="30" fillId="34" borderId="26" xfId="53" applyFont="1" applyFill="1" applyBorder="1" applyAlignment="1">
      <alignment horizontal="center"/>
      <protection/>
    </xf>
    <xf numFmtId="0" fontId="30" fillId="0" borderId="27" xfId="53" applyFont="1" applyFill="1" applyBorder="1" applyAlignment="1">
      <alignment horizontal="right" wrapText="1"/>
      <protection/>
    </xf>
    <xf numFmtId="0" fontId="30" fillId="0" borderId="27" xfId="53" applyFont="1" applyFill="1" applyBorder="1" applyAlignment="1">
      <alignment wrapText="1"/>
      <protection/>
    </xf>
    <xf numFmtId="0" fontId="7" fillId="33" borderId="11" xfId="0" applyFont="1" applyFill="1" applyBorder="1" applyAlignment="1" applyProtection="1">
      <alignment vertical="center"/>
      <protection/>
    </xf>
    <xf numFmtId="0" fontId="30" fillId="34" borderId="0" xfId="53" applyFont="1" applyFill="1" applyBorder="1" applyAlignment="1">
      <alignment horizontal="center"/>
      <protection/>
    </xf>
    <xf numFmtId="0" fontId="30" fillId="34" borderId="0" xfId="53" applyFont="1" applyFill="1" applyBorder="1" applyAlignment="1">
      <alignment/>
      <protection/>
    </xf>
    <xf numFmtId="0" fontId="7" fillId="0" borderId="0" xfId="0" applyFont="1" applyBorder="1" applyAlignment="1" applyProtection="1">
      <alignment/>
      <protection/>
    </xf>
    <xf numFmtId="0" fontId="7" fillId="33" borderId="0" xfId="0" applyFont="1" applyFill="1" applyBorder="1" applyAlignment="1" applyProtection="1">
      <alignment horizontal="right" vertical="center"/>
      <protection/>
    </xf>
    <xf numFmtId="0" fontId="7" fillId="0" borderId="0" xfId="0" applyFont="1" applyBorder="1" applyAlignment="1" applyProtection="1">
      <alignment vertical="center"/>
      <protection/>
    </xf>
    <xf numFmtId="0" fontId="7" fillId="33" borderId="0" xfId="0" applyFont="1" applyFill="1" applyBorder="1" applyAlignment="1" applyProtection="1">
      <alignment horizontal="left" vertical="center" indent="2"/>
      <protection/>
    </xf>
    <xf numFmtId="0" fontId="7" fillId="33" borderId="0" xfId="0" applyFont="1" applyFill="1" applyBorder="1" applyAlignment="1" applyProtection="1">
      <alignment/>
      <protection/>
    </xf>
    <xf numFmtId="0" fontId="7" fillId="33" borderId="0" xfId="0" applyFont="1" applyFill="1" applyBorder="1" applyAlignment="1" applyProtection="1">
      <alignment/>
      <protection/>
    </xf>
    <xf numFmtId="0" fontId="7"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indent="1"/>
      <protection/>
    </xf>
    <xf numFmtId="0" fontId="7" fillId="0" borderId="0" xfId="0" applyFont="1" applyAlignment="1">
      <alignment/>
    </xf>
    <xf numFmtId="0" fontId="9" fillId="0" borderId="0" xfId="0" applyFont="1" applyAlignment="1">
      <alignment/>
    </xf>
    <xf numFmtId="49" fontId="9" fillId="0" borderId="12" xfId="0" applyNumberFormat="1" applyFont="1" applyFill="1" applyBorder="1" applyAlignment="1" applyProtection="1">
      <alignment/>
      <protection/>
    </xf>
    <xf numFmtId="0" fontId="30" fillId="34" borderId="0" xfId="53" applyFont="1" applyFill="1" applyBorder="1" applyAlignment="1">
      <alignment horizontal="left"/>
      <protection/>
    </xf>
    <xf numFmtId="0" fontId="7" fillId="33" borderId="28" xfId="0" applyFont="1" applyFill="1" applyBorder="1" applyAlignment="1" applyProtection="1">
      <alignment vertical="center"/>
      <protection/>
    </xf>
    <xf numFmtId="0" fontId="0" fillId="0" borderId="13" xfId="0" applyFill="1" applyBorder="1" applyAlignment="1" applyProtection="1">
      <alignment/>
      <protection/>
    </xf>
    <xf numFmtId="0" fontId="7" fillId="33" borderId="0" xfId="0" applyFont="1" applyFill="1" applyBorder="1" applyAlignment="1" applyProtection="1">
      <alignment horizontal="centerContinuous" vertical="center"/>
      <protection/>
    </xf>
    <xf numFmtId="0" fontId="27" fillId="0" borderId="0" xfId="0" applyFont="1" applyAlignment="1">
      <alignment/>
    </xf>
    <xf numFmtId="0" fontId="7" fillId="0" borderId="0" xfId="0" applyFont="1" applyFill="1" applyBorder="1" applyAlignment="1" applyProtection="1">
      <alignment horizontal="left"/>
      <protection/>
    </xf>
    <xf numFmtId="3" fontId="7" fillId="0" borderId="0" xfId="0" applyNumberFormat="1" applyFont="1" applyFill="1" applyBorder="1" applyAlignment="1" applyProtection="1">
      <alignment horizontal="center"/>
      <protection/>
    </xf>
    <xf numFmtId="0" fontId="7" fillId="33" borderId="0" xfId="0" applyFont="1" applyFill="1" applyBorder="1" applyAlignment="1" applyProtection="1">
      <alignment horizontal="right" vertical="center"/>
      <protection/>
    </xf>
    <xf numFmtId="0" fontId="32" fillId="33" borderId="0" xfId="0" applyFont="1" applyFill="1" applyBorder="1" applyAlignment="1" applyProtection="1">
      <alignment horizontal="right" vertical="center"/>
      <protection/>
    </xf>
    <xf numFmtId="0" fontId="2" fillId="33" borderId="10" xfId="0" applyFont="1" applyFill="1" applyBorder="1" applyAlignment="1" applyProtection="1">
      <alignment vertical="center"/>
      <protection hidden="1"/>
    </xf>
    <xf numFmtId="0" fontId="0" fillId="33" borderId="18" xfId="0" applyFill="1" applyBorder="1" applyAlignment="1" applyProtection="1">
      <alignment vertical="center"/>
      <protection hidden="1"/>
    </xf>
    <xf numFmtId="0" fontId="0" fillId="0" borderId="0" xfId="0" applyAlignment="1" applyProtection="1">
      <alignment/>
      <protection hidden="1"/>
    </xf>
    <xf numFmtId="0" fontId="2" fillId="33" borderId="12" xfId="0" applyFont="1" applyFill="1" applyBorder="1" applyAlignment="1" applyProtection="1">
      <alignment vertical="center"/>
      <protection hidden="1"/>
    </xf>
    <xf numFmtId="0" fontId="0" fillId="33" borderId="13" xfId="0" applyFont="1" applyFill="1" applyBorder="1" applyAlignment="1" applyProtection="1">
      <alignment vertical="center"/>
      <protection hidden="1"/>
    </xf>
    <xf numFmtId="0" fontId="7" fillId="35" borderId="29" xfId="0" applyFont="1" applyFill="1" applyBorder="1" applyAlignment="1" applyProtection="1">
      <alignment vertical="center"/>
      <protection hidden="1"/>
    </xf>
    <xf numFmtId="0" fontId="0" fillId="33" borderId="13" xfId="0" applyFill="1" applyBorder="1" applyAlignment="1" applyProtection="1">
      <alignment vertical="center"/>
      <protection hidden="1"/>
    </xf>
    <xf numFmtId="49" fontId="9" fillId="0" borderId="12" xfId="0" applyNumberFormat="1" applyFont="1" applyFill="1" applyBorder="1" applyAlignment="1" applyProtection="1">
      <alignment/>
      <protection hidden="1"/>
    </xf>
    <xf numFmtId="0" fontId="2" fillId="33" borderId="1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9" fillId="0" borderId="3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7" fillId="33" borderId="13" xfId="0" applyFont="1" applyFill="1" applyBorder="1" applyAlignment="1" applyProtection="1">
      <alignment/>
      <protection/>
    </xf>
    <xf numFmtId="0" fontId="7" fillId="33" borderId="13" xfId="0" applyFont="1" applyFill="1" applyBorder="1" applyAlignment="1" applyProtection="1">
      <alignment/>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0" fillId="33" borderId="0" xfId="0" applyFill="1" applyAlignment="1">
      <alignment/>
    </xf>
    <xf numFmtId="0" fontId="27" fillId="33" borderId="0"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7" fillId="33" borderId="16" xfId="0" applyFont="1" applyFill="1" applyBorder="1" applyAlignment="1" applyProtection="1">
      <alignment horizontal="left"/>
      <protection/>
    </xf>
    <xf numFmtId="0" fontId="7" fillId="33" borderId="17"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9" fillId="33" borderId="16" xfId="0" applyFont="1" applyFill="1" applyBorder="1" applyAlignment="1" applyProtection="1">
      <alignment/>
      <protection/>
    </xf>
    <xf numFmtId="0" fontId="0" fillId="0" borderId="0" xfId="0" applyAlignment="1" applyProtection="1">
      <alignment/>
      <protection locked="0"/>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3" xfId="0" applyFont="1" applyFill="1" applyBorder="1" applyAlignment="1" applyProtection="1">
      <alignment horizontal="center"/>
      <protection/>
    </xf>
    <xf numFmtId="0" fontId="0" fillId="0" borderId="20" xfId="0" applyFill="1" applyBorder="1" applyAlignment="1" applyProtection="1">
      <alignment shrinkToFit="1"/>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0" borderId="20" xfId="0" applyFill="1" applyBorder="1" applyAlignment="1" applyProtection="1">
      <alignment/>
      <protection locked="0"/>
    </xf>
    <xf numFmtId="0" fontId="0" fillId="0" borderId="20" xfId="0" applyFill="1" applyBorder="1" applyAlignment="1" applyProtection="1">
      <alignment/>
      <protection locked="0"/>
    </xf>
    <xf numFmtId="0" fontId="0" fillId="0" borderId="32" xfId="0" applyFill="1" applyBorder="1" applyAlignment="1" applyProtection="1">
      <alignment/>
      <protection locked="0"/>
    </xf>
    <xf numFmtId="14" fontId="0" fillId="0" borderId="20" xfId="0" applyNumberFormat="1" applyFill="1" applyBorder="1" applyAlignment="1" applyProtection="1">
      <alignment horizontal="center"/>
      <protection locked="0"/>
    </xf>
    <xf numFmtId="14" fontId="0" fillId="0" borderId="32" xfId="0" applyNumberFormat="1" applyFill="1" applyBorder="1" applyAlignment="1" applyProtection="1">
      <alignment horizontal="center"/>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3" xfId="0" applyNumberFormat="1" applyFill="1" applyBorder="1" applyAlignment="1" applyProtection="1">
      <alignment/>
      <protection locked="0"/>
    </xf>
    <xf numFmtId="182" fontId="0" fillId="0" borderId="20" xfId="0" applyNumberFormat="1" applyFill="1" applyBorder="1" applyAlignment="1" applyProtection="1">
      <alignment shrinkToFit="1"/>
      <protection locked="0"/>
    </xf>
    <xf numFmtId="182" fontId="0" fillId="0" borderId="0" xfId="0" applyNumberFormat="1" applyAlignment="1" applyProtection="1">
      <alignment/>
      <protection hidden="1"/>
    </xf>
    <xf numFmtId="14" fontId="0" fillId="0" borderId="0" xfId="0" applyNumberFormat="1" applyAlignment="1" applyProtection="1">
      <alignment/>
      <protection hidden="1"/>
    </xf>
    <xf numFmtId="0" fontId="21" fillId="0" borderId="0" xfId="0" applyFont="1" applyAlignment="1" applyProtection="1">
      <alignment/>
      <protection hidden="1"/>
    </xf>
    <xf numFmtId="0" fontId="0" fillId="0" borderId="0" xfId="0" applyBorder="1" applyAlignment="1" applyProtection="1">
      <alignment horizontal="left"/>
      <protection hidden="1"/>
    </xf>
    <xf numFmtId="182" fontId="0" fillId="0" borderId="0" xfId="0" applyNumberFormat="1" applyBorder="1" applyAlignment="1" applyProtection="1">
      <alignment horizontal="left"/>
      <protection hidden="1"/>
    </xf>
    <xf numFmtId="182" fontId="7" fillId="0" borderId="0" xfId="0" applyNumberFormat="1" applyFont="1" applyAlignment="1" applyProtection="1">
      <alignment/>
      <protection hidden="1"/>
    </xf>
    <xf numFmtId="182" fontId="2" fillId="0" borderId="0" xfId="0" applyNumberFormat="1" applyFont="1" applyBorder="1" applyAlignment="1" applyProtection="1">
      <alignment/>
      <protection hidden="1"/>
    </xf>
    <xf numFmtId="0" fontId="21" fillId="0" borderId="0" xfId="0" applyFont="1" applyFill="1" applyBorder="1" applyAlignment="1" applyProtection="1">
      <alignment vertical="top"/>
      <protection hidden="1"/>
    </xf>
    <xf numFmtId="0" fontId="13" fillId="0" borderId="0" xfId="0" applyFont="1" applyFill="1" applyBorder="1" applyAlignment="1" applyProtection="1">
      <alignment vertical="top"/>
      <protection hidden="1"/>
    </xf>
    <xf numFmtId="182" fontId="13" fillId="0" borderId="0" xfId="0" applyNumberFormat="1" applyFont="1" applyFill="1" applyBorder="1" applyAlignment="1" applyProtection="1">
      <alignment vertical="top"/>
      <protection hidden="1"/>
    </xf>
    <xf numFmtId="14" fontId="13" fillId="0" borderId="0" xfId="0" applyNumberFormat="1" applyFont="1" applyFill="1" applyBorder="1" applyAlignment="1" applyProtection="1">
      <alignment vertical="top"/>
      <protection hidden="1"/>
    </xf>
    <xf numFmtId="0" fontId="13" fillId="0" borderId="16" xfId="0" applyFont="1" applyFill="1" applyBorder="1" applyAlignment="1" applyProtection="1">
      <alignment vertical="top"/>
      <protection hidden="1"/>
    </xf>
    <xf numFmtId="182" fontId="13" fillId="0" borderId="16" xfId="0" applyNumberFormat="1" applyFont="1" applyFill="1" applyBorder="1" applyAlignment="1" applyProtection="1">
      <alignment vertical="top"/>
      <protection hidden="1"/>
    </xf>
    <xf numFmtId="14" fontId="13" fillId="0" borderId="16" xfId="0" applyNumberFormat="1" applyFont="1" applyFill="1" applyBorder="1" applyAlignment="1" applyProtection="1">
      <alignment vertical="top"/>
      <protection hidden="1"/>
    </xf>
    <xf numFmtId="0" fontId="0" fillId="0" borderId="0" xfId="0" applyNumberFormat="1" applyAlignment="1" applyProtection="1">
      <alignment/>
      <protection hidden="1"/>
    </xf>
    <xf numFmtId="182" fontId="0" fillId="0" borderId="37" xfId="0" applyNumberFormat="1" applyFill="1" applyBorder="1" applyAlignment="1" applyProtection="1">
      <alignment/>
      <protection hidden="1"/>
    </xf>
    <xf numFmtId="182" fontId="0" fillId="0" borderId="31" xfId="0" applyNumberFormat="1" applyFill="1" applyBorder="1" applyAlignment="1" applyProtection="1">
      <alignment/>
      <protection hidden="1"/>
    </xf>
    <xf numFmtId="0" fontId="0" fillId="0" borderId="13" xfId="0" applyFill="1" applyBorder="1" applyAlignment="1" applyProtection="1">
      <alignment/>
      <protection hidden="1"/>
    </xf>
    <xf numFmtId="0" fontId="0" fillId="0" borderId="22" xfId="0" applyFill="1" applyBorder="1" applyAlignment="1" applyProtection="1">
      <alignment/>
      <protection hidden="1"/>
    </xf>
    <xf numFmtId="0" fontId="0" fillId="0" borderId="0" xfId="0" applyFill="1" applyBorder="1" applyAlignment="1" applyProtection="1">
      <alignment/>
      <protection hidden="1"/>
    </xf>
    <xf numFmtId="0" fontId="0" fillId="0" borderId="32" xfId="0" applyFill="1" applyBorder="1" applyAlignment="1" applyProtection="1">
      <alignment/>
      <protection hidden="1"/>
    </xf>
    <xf numFmtId="182" fontId="0" fillId="0" borderId="32" xfId="0" applyNumberFormat="1" applyFill="1" applyBorder="1" applyAlignment="1" applyProtection="1">
      <alignment/>
      <protection hidden="1"/>
    </xf>
    <xf numFmtId="182" fontId="0" fillId="0" borderId="36"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4" fontId="0" fillId="0" borderId="32" xfId="0" applyNumberFormat="1" applyFill="1" applyBorder="1" applyAlignment="1" applyProtection="1">
      <alignment horizontal="center"/>
      <protection hidden="1"/>
    </xf>
    <xf numFmtId="0" fontId="0" fillId="0" borderId="33" xfId="0" applyFill="1" applyBorder="1" applyAlignment="1" applyProtection="1">
      <alignment/>
      <protection hidden="1"/>
    </xf>
    <xf numFmtId="0" fontId="0" fillId="0" borderId="39" xfId="0" applyFill="1" applyBorder="1" applyAlignment="1" applyProtection="1">
      <alignment/>
      <protection hidden="1"/>
    </xf>
    <xf numFmtId="0" fontId="0" fillId="0" borderId="40" xfId="0" applyFill="1" applyBorder="1" applyAlignment="1" applyProtection="1">
      <alignment/>
      <protection hidden="1"/>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hidden="1"/>
    </xf>
    <xf numFmtId="182" fontId="0" fillId="0" borderId="43" xfId="0" applyNumberFormat="1" applyFill="1" applyBorder="1" applyAlignment="1" applyProtection="1">
      <alignment/>
      <protection hidden="1"/>
    </xf>
    <xf numFmtId="14" fontId="0" fillId="0" borderId="44" xfId="0" applyNumberFormat="1" applyFill="1" applyBorder="1" applyAlignment="1" applyProtection="1">
      <alignment horizontal="center"/>
      <protection hidden="1"/>
    </xf>
    <xf numFmtId="182" fontId="0" fillId="0" borderId="44" xfId="0" applyNumberFormat="1" applyFill="1" applyBorder="1" applyAlignment="1" applyProtection="1">
      <alignment/>
      <protection hidden="1"/>
    </xf>
    <xf numFmtId="0" fontId="0" fillId="0" borderId="45" xfId="0" applyFill="1" applyBorder="1" applyAlignment="1" applyProtection="1">
      <alignment/>
      <protection hidden="1"/>
    </xf>
    <xf numFmtId="0" fontId="0" fillId="0" borderId="46" xfId="0" applyFill="1" applyBorder="1" applyAlignment="1" applyProtection="1">
      <alignment/>
      <protection hidden="1"/>
    </xf>
    <xf numFmtId="182" fontId="0" fillId="0" borderId="24" xfId="0" applyNumberFormat="1" applyFill="1" applyBorder="1" applyAlignment="1" applyProtection="1">
      <alignment/>
      <protection hidden="1"/>
    </xf>
    <xf numFmtId="0" fontId="0" fillId="0" borderId="24" xfId="0" applyFill="1" applyBorder="1" applyAlignment="1" applyProtection="1">
      <alignment/>
      <protection hidden="1"/>
    </xf>
    <xf numFmtId="182" fontId="0" fillId="0" borderId="47" xfId="0" applyNumberFormat="1" applyFill="1" applyBorder="1" applyAlignment="1" applyProtection="1">
      <alignment/>
      <protection hidden="1"/>
    </xf>
    <xf numFmtId="182" fontId="0" fillId="0" borderId="48" xfId="0" applyNumberFormat="1" applyFill="1" applyBorder="1" applyAlignment="1" applyProtection="1">
      <alignment/>
      <protection hidden="1"/>
    </xf>
    <xf numFmtId="182" fontId="0" fillId="0" borderId="49" xfId="0" applyNumberFormat="1" applyFill="1" applyBorder="1" applyAlignment="1" applyProtection="1">
      <alignment/>
      <protection hidden="1"/>
    </xf>
    <xf numFmtId="182" fontId="0" fillId="0" borderId="0" xfId="0" applyNumberFormat="1" applyFill="1" applyBorder="1" applyAlignment="1" applyProtection="1">
      <alignment/>
      <protection hidden="1"/>
    </xf>
    <xf numFmtId="182" fontId="0" fillId="0" borderId="37"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82" fontId="0" fillId="0" borderId="50" xfId="0" applyNumberFormat="1" applyFill="1" applyBorder="1" applyAlignment="1" applyProtection="1">
      <alignment/>
      <protection hidden="1"/>
    </xf>
    <xf numFmtId="182" fontId="0" fillId="0" borderId="51" xfId="0" applyNumberFormat="1" applyFill="1" applyBorder="1" applyAlignment="1" applyProtection="1">
      <alignment/>
      <protection hidden="1"/>
    </xf>
    <xf numFmtId="0" fontId="0" fillId="0" borderId="12" xfId="0" applyFill="1" applyBorder="1" applyAlignment="1" applyProtection="1">
      <alignment/>
      <protection hidden="1"/>
    </xf>
    <xf numFmtId="0" fontId="22" fillId="0" borderId="52" xfId="0" applyFont="1" applyFill="1" applyBorder="1" applyAlignment="1" applyProtection="1">
      <alignment horizontal="right"/>
      <protection hidden="1"/>
    </xf>
    <xf numFmtId="182" fontId="1" fillId="0" borderId="53" xfId="0" applyNumberFormat="1" applyFont="1" applyFill="1" applyBorder="1" applyAlignment="1" applyProtection="1">
      <alignment/>
      <protection hidden="1"/>
    </xf>
    <xf numFmtId="182" fontId="1" fillId="0" borderId="54" xfId="0" applyNumberFormat="1" applyFont="1" applyFill="1" applyBorder="1" applyAlignment="1" applyProtection="1">
      <alignment/>
      <protection hidden="1"/>
    </xf>
    <xf numFmtId="182" fontId="1" fillId="0" borderId="55" xfId="0" applyNumberFormat="1" applyFont="1" applyFill="1" applyBorder="1" applyAlignment="1" applyProtection="1">
      <alignment/>
      <protection hidden="1"/>
    </xf>
    <xf numFmtId="182" fontId="1" fillId="0" borderId="56" xfId="0" applyNumberFormat="1" applyFont="1" applyFill="1" applyBorder="1" applyAlignment="1" applyProtection="1">
      <alignment/>
      <protection hidden="1"/>
    </xf>
    <xf numFmtId="14" fontId="0" fillId="36" borderId="40" xfId="0" applyNumberFormat="1" applyFill="1" applyBorder="1" applyAlignment="1" applyProtection="1">
      <alignment horizontal="center"/>
      <protection hidden="1"/>
    </xf>
    <xf numFmtId="182" fontId="0" fillId="36" borderId="40" xfId="0" applyNumberFormat="1" applyFill="1" applyBorder="1" applyAlignment="1" applyProtection="1">
      <alignment/>
      <protection hidden="1"/>
    </xf>
    <xf numFmtId="0" fontId="0" fillId="36" borderId="45" xfId="0" applyFill="1" applyBorder="1" applyAlignment="1" applyProtection="1">
      <alignment/>
      <protection hidden="1"/>
    </xf>
    <xf numFmtId="0" fontId="3" fillId="0" borderId="39" xfId="0" applyFont="1" applyFill="1" applyBorder="1" applyAlignment="1" applyProtection="1">
      <alignment/>
      <protection hidden="1"/>
    </xf>
    <xf numFmtId="0" fontId="3" fillId="0" borderId="40" xfId="0" applyFont="1" applyFill="1" applyBorder="1" applyAlignment="1" applyProtection="1">
      <alignment/>
      <protection hidden="1"/>
    </xf>
    <xf numFmtId="182" fontId="1" fillId="0" borderId="57" xfId="0" applyNumberFormat="1" applyFont="1" applyFill="1" applyBorder="1" applyAlignment="1" applyProtection="1">
      <alignment/>
      <protection hidden="1"/>
    </xf>
    <xf numFmtId="14" fontId="0" fillId="36" borderId="0" xfId="0" applyNumberFormat="1" applyFill="1" applyBorder="1" applyAlignment="1" applyProtection="1">
      <alignment horizontal="center"/>
      <protection hidden="1"/>
    </xf>
    <xf numFmtId="182" fontId="0" fillId="36" borderId="0" xfId="0" applyNumberFormat="1" applyFill="1" applyBorder="1" applyAlignment="1" applyProtection="1">
      <alignment/>
      <protection hidden="1"/>
    </xf>
    <xf numFmtId="0" fontId="0" fillId="36" borderId="13" xfId="0" applyFill="1" applyBorder="1" applyAlignment="1" applyProtection="1">
      <alignment/>
      <protection hidden="1"/>
    </xf>
    <xf numFmtId="0" fontId="3" fillId="0" borderId="16" xfId="0" applyFont="1" applyFill="1" applyBorder="1" applyAlignment="1" applyProtection="1">
      <alignment horizontal="right"/>
      <protection hidden="1"/>
    </xf>
    <xf numFmtId="182" fontId="3" fillId="0" borderId="58" xfId="0" applyNumberFormat="1" applyFont="1" applyFill="1" applyBorder="1" applyAlignment="1" applyProtection="1">
      <alignment/>
      <protection hidden="1"/>
    </xf>
    <xf numFmtId="14" fontId="0" fillId="36" borderId="16" xfId="0" applyNumberFormat="1" applyFill="1" applyBorder="1" applyAlignment="1" applyProtection="1">
      <alignment horizontal="center"/>
      <protection hidden="1"/>
    </xf>
    <xf numFmtId="182" fontId="0" fillId="36" borderId="16" xfId="0" applyNumberFormat="1" applyFill="1" applyBorder="1" applyAlignment="1" applyProtection="1">
      <alignment/>
      <protection hidden="1"/>
    </xf>
    <xf numFmtId="0" fontId="0" fillId="36" borderId="17" xfId="0" applyFill="1" applyBorder="1" applyAlignment="1" applyProtection="1">
      <alignment/>
      <protection hidden="1"/>
    </xf>
    <xf numFmtId="0" fontId="0" fillId="0" borderId="0" xfId="0" applyFont="1" applyAlignment="1" applyProtection="1">
      <alignment/>
      <protection hidden="1"/>
    </xf>
    <xf numFmtId="182" fontId="0" fillId="0" borderId="0" xfId="0" applyNumberFormat="1" applyFont="1" applyAlignment="1" applyProtection="1">
      <alignment horizontal="right"/>
      <protection hidden="1"/>
    </xf>
    <xf numFmtId="0" fontId="0" fillId="0" borderId="0" xfId="0" applyAlignment="1">
      <alignment/>
    </xf>
    <xf numFmtId="0" fontId="7" fillId="33" borderId="14"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0" fillId="0" borderId="14" xfId="0" applyBorder="1" applyAlignment="1">
      <alignment horizontal="center"/>
    </xf>
    <xf numFmtId="0" fontId="34" fillId="0" borderId="14" xfId="0" applyFont="1" applyBorder="1" applyAlignment="1" applyProtection="1">
      <alignment/>
      <protection locked="0"/>
    </xf>
    <xf numFmtId="0" fontId="30" fillId="34" borderId="26" xfId="54" applyFont="1" applyFill="1" applyBorder="1" applyAlignment="1">
      <alignment horizontal="center"/>
      <protection/>
    </xf>
    <xf numFmtId="0" fontId="30" fillId="0" borderId="27" xfId="54" applyFont="1" applyFill="1" applyBorder="1" applyAlignment="1">
      <alignment horizontal="right" wrapText="1"/>
      <protection/>
    </xf>
    <xf numFmtId="0" fontId="30" fillId="0" borderId="27" xfId="54" applyFont="1" applyFill="1" applyBorder="1" applyAlignment="1">
      <alignment wrapText="1"/>
      <protection/>
    </xf>
    <xf numFmtId="4" fontId="0" fillId="0" borderId="0" xfId="0" applyNumberFormat="1" applyAlignment="1">
      <alignment/>
    </xf>
    <xf numFmtId="0" fontId="15" fillId="36" borderId="14" xfId="0" applyFont="1" applyFill="1" applyBorder="1" applyAlignment="1" applyProtection="1">
      <alignment horizontal="center"/>
      <protection hidden="1"/>
    </xf>
    <xf numFmtId="3" fontId="15" fillId="36" borderId="14" xfId="0" applyNumberFormat="1" applyFont="1" applyFill="1" applyBorder="1" applyAlignment="1" applyProtection="1">
      <alignment horizontal="center"/>
      <protection hidden="1"/>
    </xf>
    <xf numFmtId="3" fontId="15" fillId="0" borderId="14" xfId="0" applyNumberFormat="1" applyFont="1" applyBorder="1" applyAlignment="1" applyProtection="1">
      <alignment horizontal="center"/>
      <protection locked="0"/>
    </xf>
    <xf numFmtId="3" fontId="15" fillId="0" borderId="20" xfId="0" applyNumberFormat="1" applyFont="1" applyBorder="1" applyAlignment="1" applyProtection="1">
      <alignment horizontal="center"/>
      <protection locked="0"/>
    </xf>
    <xf numFmtId="176" fontId="15" fillId="36" borderId="14" xfId="0" applyNumberFormat="1" applyFont="1" applyFill="1" applyBorder="1" applyAlignment="1" applyProtection="1">
      <alignment horizontal="center"/>
      <protection hidden="1"/>
    </xf>
    <xf numFmtId="3" fontId="15" fillId="36" borderId="25" xfId="48" applyNumberFormat="1" applyFont="1" applyFill="1" applyBorder="1" applyAlignment="1" applyProtection="1">
      <alignment horizontal="center"/>
      <protection hidden="1"/>
    </xf>
    <xf numFmtId="176" fontId="15" fillId="36" borderId="25" xfId="48" applyNumberFormat="1" applyFont="1" applyFill="1" applyBorder="1" applyAlignment="1" applyProtection="1">
      <alignment horizontal="center"/>
      <protection hidden="1"/>
    </xf>
    <xf numFmtId="0" fontId="15" fillId="0" borderId="2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protection/>
    </xf>
    <xf numFmtId="42" fontId="15" fillId="0" borderId="0" xfId="48" applyNumberFormat="1" applyFont="1" applyFill="1" applyBorder="1" applyAlignment="1" applyProtection="1">
      <alignment/>
      <protection hidden="1"/>
    </xf>
    <xf numFmtId="3" fontId="15" fillId="0" borderId="0" xfId="48" applyNumberFormat="1" applyFont="1" applyFill="1" applyBorder="1" applyAlignment="1" applyProtection="1">
      <alignment horizontal="center"/>
      <protection hidden="1"/>
    </xf>
    <xf numFmtId="176" fontId="15" fillId="0" borderId="0" xfId="48" applyNumberFormat="1" applyFont="1" applyFill="1" applyBorder="1" applyAlignment="1" applyProtection="1">
      <alignment horizontal="center"/>
      <protection hidden="1"/>
    </xf>
    <xf numFmtId="0" fontId="15"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34" fillId="0" borderId="0" xfId="0" applyFont="1" applyAlignment="1">
      <alignment/>
    </xf>
    <xf numFmtId="10" fontId="15" fillId="36" borderId="14" xfId="0" applyNumberFormat="1" applyFont="1" applyFill="1" applyBorder="1" applyAlignment="1" applyProtection="1">
      <alignment horizontal="center"/>
      <protection hidden="1"/>
    </xf>
    <xf numFmtId="194" fontId="15" fillId="0" borderId="14" xfId="48" applyNumberFormat="1" applyFont="1" applyBorder="1" applyAlignment="1" applyProtection="1">
      <alignment horizontal="center"/>
      <protection locked="0"/>
    </xf>
    <xf numFmtId="194" fontId="15" fillId="0" borderId="20" xfId="48" applyNumberFormat="1" applyFont="1" applyBorder="1" applyAlignment="1" applyProtection="1">
      <alignment horizontal="center"/>
      <protection locked="0"/>
    </xf>
    <xf numFmtId="0" fontId="15" fillId="0" borderId="14" xfId="0" applyFont="1" applyBorder="1" applyAlignment="1" applyProtection="1">
      <alignment horizontal="left"/>
      <protection locked="0"/>
    </xf>
    <xf numFmtId="0" fontId="15" fillId="0" borderId="20" xfId="0" applyFont="1" applyBorder="1" applyAlignment="1" applyProtection="1">
      <alignment horizontal="left"/>
      <protection locked="0"/>
    </xf>
    <xf numFmtId="0" fontId="7" fillId="0" borderId="59" xfId="0" applyFont="1" applyFill="1" applyBorder="1" applyAlignment="1" applyProtection="1">
      <alignment/>
      <protection hidden="1"/>
    </xf>
    <xf numFmtId="0" fontId="0" fillId="0" borderId="0" xfId="0" applyBorder="1" applyAlignment="1" applyProtection="1">
      <alignment/>
      <protection hidden="1"/>
    </xf>
    <xf numFmtId="0" fontId="7" fillId="0" borderId="0" xfId="0" applyFont="1" applyAlignment="1" applyProtection="1">
      <alignment horizontal="left"/>
      <protection/>
    </xf>
    <xf numFmtId="0" fontId="2" fillId="0" borderId="29" xfId="0" applyFont="1" applyFill="1" applyBorder="1" applyAlignment="1" applyProtection="1">
      <alignment vertic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7" fillId="37" borderId="29"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0" borderId="0" xfId="0" applyFont="1" applyFill="1" applyBorder="1" applyAlignment="1" applyProtection="1">
      <alignment/>
      <protection/>
    </xf>
    <xf numFmtId="0" fontId="7" fillId="0" borderId="28" xfId="0" applyFont="1" applyFill="1" applyBorder="1" applyAlignment="1" applyProtection="1">
      <alignment/>
      <protection/>
    </xf>
    <xf numFmtId="0" fontId="7" fillId="0" borderId="30" xfId="0" applyFont="1" applyFill="1" applyBorder="1" applyAlignment="1" applyProtection="1">
      <alignment/>
      <protection/>
    </xf>
    <xf numFmtId="0" fontId="7" fillId="0" borderId="28" xfId="0" applyFont="1" applyFill="1" applyBorder="1" applyAlignment="1" applyProtection="1">
      <alignment horizontal="right"/>
      <protection/>
    </xf>
    <xf numFmtId="0" fontId="2" fillId="33" borderId="61"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2" fillId="33" borderId="0" xfId="0" applyFont="1"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0" borderId="0" xfId="0" applyBorder="1" applyAlignment="1" applyProtection="1">
      <alignment horizontal="center"/>
      <protection hidden="1"/>
    </xf>
    <xf numFmtId="0" fontId="25" fillId="0" borderId="0" xfId="0" applyFont="1" applyBorder="1" applyAlignment="1" applyProtection="1">
      <alignment/>
      <protection hidden="1"/>
    </xf>
    <xf numFmtId="0" fontId="0" fillId="0" borderId="0" xfId="0" applyBorder="1" applyAlignment="1" applyProtection="1">
      <alignment/>
      <protection hidden="1"/>
    </xf>
    <xf numFmtId="0" fontId="7" fillId="36" borderId="14" xfId="0" applyFont="1" applyFill="1" applyBorder="1" applyAlignment="1" applyProtection="1">
      <alignment horizontal="center"/>
      <protection hidden="1"/>
    </xf>
    <xf numFmtId="0" fontId="0" fillId="0" borderId="30" xfId="0" applyBorder="1" applyAlignment="1">
      <alignment horizontal="center"/>
    </xf>
    <xf numFmtId="0" fontId="0" fillId="38" borderId="0" xfId="0" applyFont="1" applyFill="1" applyAlignment="1">
      <alignment/>
    </xf>
    <xf numFmtId="0" fontId="0" fillId="38" borderId="0" xfId="0" applyFill="1" applyAlignment="1">
      <alignment/>
    </xf>
    <xf numFmtId="3" fontId="0" fillId="0" borderId="0" xfId="0" applyNumberFormat="1" applyAlignment="1">
      <alignment/>
    </xf>
    <xf numFmtId="0" fontId="0" fillId="0" borderId="0" xfId="0" applyAlignment="1">
      <alignment vertical="center"/>
    </xf>
    <xf numFmtId="0" fontId="12" fillId="33" borderId="0" xfId="0" applyFont="1" applyFill="1" applyBorder="1" applyAlignment="1" applyProtection="1">
      <alignment vertical="center"/>
      <protection/>
    </xf>
    <xf numFmtId="0" fontId="29" fillId="37" borderId="49" xfId="0" applyFont="1" applyFill="1" applyBorder="1" applyAlignment="1" applyProtection="1">
      <alignment vertical="center"/>
      <protection/>
    </xf>
    <xf numFmtId="0" fontId="29" fillId="37" borderId="30" xfId="0" applyFont="1" applyFill="1" applyBorder="1" applyAlignment="1" applyProtection="1">
      <alignment vertical="center"/>
      <protection/>
    </xf>
    <xf numFmtId="0" fontId="0" fillId="0" borderId="30" xfId="0" applyBorder="1" applyAlignment="1">
      <alignment vertical="center"/>
    </xf>
    <xf numFmtId="0" fontId="7" fillId="33" borderId="30" xfId="0" applyFont="1" applyFill="1" applyBorder="1" applyAlignment="1" applyProtection="1">
      <alignment vertical="center"/>
      <protection/>
    </xf>
    <xf numFmtId="0" fontId="14" fillId="33" borderId="30" xfId="0" applyFont="1" applyFill="1" applyBorder="1" applyAlignment="1" applyProtection="1">
      <alignment vertical="center"/>
      <protection/>
    </xf>
    <xf numFmtId="0" fontId="0" fillId="0" borderId="48" xfId="0" applyBorder="1" applyAlignment="1">
      <alignment vertical="center"/>
    </xf>
    <xf numFmtId="0" fontId="15" fillId="0" borderId="24" xfId="0" applyFont="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24" xfId="0" applyBorder="1" applyAlignment="1" applyProtection="1">
      <alignment horizontal="center" vertical="center"/>
      <protection hidden="1"/>
    </xf>
    <xf numFmtId="0" fontId="15" fillId="0" borderId="32" xfId="0" applyFont="1"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wrapText="1"/>
      <protection hidden="1"/>
    </xf>
    <xf numFmtId="0" fontId="0" fillId="0" borderId="24" xfId="0"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protection hidden="1"/>
    </xf>
    <xf numFmtId="0" fontId="0" fillId="0" borderId="49" xfId="0" applyBorder="1" applyAlignment="1" applyProtection="1">
      <alignment horizontal="center" vertical="center" wrapText="1"/>
      <protection hidden="1"/>
    </xf>
    <xf numFmtId="0" fontId="4" fillId="33" borderId="12" xfId="0" applyFont="1" applyFill="1" applyBorder="1" applyAlignment="1" applyProtection="1">
      <alignment vertical="center"/>
      <protection hidden="1"/>
    </xf>
    <xf numFmtId="0" fontId="0" fillId="0" borderId="0" xfId="0" applyAlignment="1" quotePrefix="1">
      <alignment/>
    </xf>
    <xf numFmtId="0" fontId="0" fillId="0" borderId="0" xfId="0" applyFont="1" applyAlignment="1">
      <alignment/>
    </xf>
    <xf numFmtId="18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82" fontId="2" fillId="0" borderId="0" xfId="0" applyNumberFormat="1" applyFont="1" applyBorder="1" applyAlignment="1" applyProtection="1">
      <alignment/>
      <protection hidden="1"/>
    </xf>
    <xf numFmtId="182" fontId="0" fillId="0" borderId="0" xfId="0" applyNumberFormat="1" applyFont="1" applyAlignment="1" applyProtection="1">
      <alignment/>
      <protection hidden="1"/>
    </xf>
    <xf numFmtId="0" fontId="0" fillId="0" borderId="0" xfId="0" applyFont="1" applyAlignment="1" applyProtection="1">
      <alignment/>
      <protection hidden="1"/>
    </xf>
    <xf numFmtId="10" fontId="0" fillId="0" borderId="0" xfId="0" applyNumberFormat="1" applyAlignment="1">
      <alignment/>
    </xf>
    <xf numFmtId="9" fontId="0" fillId="0" borderId="0" xfId="0" applyNumberFormat="1" applyAlignment="1">
      <alignment/>
    </xf>
    <xf numFmtId="0" fontId="0" fillId="0" borderId="62" xfId="0" applyBorder="1" applyAlignment="1" applyProtection="1">
      <alignment/>
      <protection locked="0"/>
    </xf>
    <xf numFmtId="0" fontId="0" fillId="0" borderId="30" xfId="0" applyBorder="1" applyAlignment="1" applyProtection="1">
      <alignment horizontal="left"/>
      <protection hidden="1"/>
    </xf>
    <xf numFmtId="0" fontId="15" fillId="0" borderId="0" xfId="0" applyFont="1" applyFill="1" applyBorder="1" applyAlignment="1" applyProtection="1">
      <alignment/>
      <protection hidden="1"/>
    </xf>
    <xf numFmtId="0" fontId="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left" vertical="center" indent="1"/>
      <protection hidden="1"/>
    </xf>
    <xf numFmtId="0" fontId="0" fillId="0" borderId="0" xfId="0" applyBorder="1" applyAlignment="1" applyProtection="1">
      <alignment horizontal="center" vertical="center"/>
      <protection hidden="1"/>
    </xf>
    <xf numFmtId="0" fontId="0"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left" vertical="center" indent="1"/>
      <protection hidden="1"/>
    </xf>
    <xf numFmtId="0" fontId="0"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2" fillId="33" borderId="13"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27" fillId="0" borderId="0" xfId="0" applyFont="1" applyFill="1" applyBorder="1" applyAlignment="1" applyProtection="1">
      <alignment vertical="top"/>
      <protection hidden="1"/>
    </xf>
    <xf numFmtId="0" fontId="0" fillId="38" borderId="0" xfId="0" applyFont="1" applyFill="1" applyAlignment="1" applyProtection="1">
      <alignment/>
      <protection locked="0"/>
    </xf>
    <xf numFmtId="0" fontId="0" fillId="38" borderId="0" xfId="0" applyFill="1" applyAlignment="1" applyProtection="1">
      <alignment/>
      <protection locked="0"/>
    </xf>
    <xf numFmtId="3" fontId="0" fillId="0" borderId="0" xfId="0" applyNumberFormat="1" applyAlignment="1" applyProtection="1">
      <alignment/>
      <protection locked="0"/>
    </xf>
    <xf numFmtId="183"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2" fillId="33" borderId="12" xfId="0" applyFont="1" applyFill="1" applyBorder="1" applyAlignment="1" applyProtection="1">
      <alignment vertical="center"/>
      <protection hidden="1" locked="0"/>
    </xf>
    <xf numFmtId="0" fontId="2" fillId="33" borderId="0" xfId="0" applyFont="1" applyFill="1" applyBorder="1" applyAlignment="1" applyProtection="1">
      <alignment vertical="center"/>
      <protection hidden="1" locked="0"/>
    </xf>
    <xf numFmtId="0" fontId="7" fillId="33" borderId="0" xfId="0" applyFont="1" applyFill="1" applyAlignment="1" applyProtection="1">
      <alignment/>
      <protection hidden="1"/>
    </xf>
    <xf numFmtId="0" fontId="7"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7" fillId="33" borderId="0" xfId="0" applyFont="1" applyFill="1" applyBorder="1" applyAlignment="1" applyProtection="1">
      <alignment/>
      <protection hidden="1"/>
    </xf>
    <xf numFmtId="0" fontId="0" fillId="33" borderId="0" xfId="0" applyFill="1" applyAlignment="1" applyProtection="1">
      <alignment/>
      <protection hidden="1"/>
    </xf>
    <xf numFmtId="0" fontId="9" fillId="33" borderId="0" xfId="0" applyFont="1" applyFill="1" applyBorder="1" applyAlignment="1" applyProtection="1">
      <alignment/>
      <protection hidden="1"/>
    </xf>
    <xf numFmtId="0" fontId="7" fillId="0" borderId="0" xfId="0" applyFont="1" applyFill="1" applyBorder="1" applyAlignment="1" applyProtection="1">
      <alignment vertical="center"/>
      <protection hidden="1"/>
    </xf>
    <xf numFmtId="185" fontId="7" fillId="36" borderId="60" xfId="0" applyNumberFormat="1" applyFont="1" applyFill="1" applyBorder="1" applyAlignment="1" applyProtection="1">
      <alignment/>
      <protection hidden="1"/>
    </xf>
    <xf numFmtId="9" fontId="7" fillId="0" borderId="0" xfId="0" applyNumberFormat="1" applyFont="1" applyFill="1" applyBorder="1" applyAlignment="1" applyProtection="1">
      <alignment vertical="center"/>
      <protection hidden="1"/>
    </xf>
    <xf numFmtId="182" fontId="0" fillId="0" borderId="0" xfId="0" applyNumberFormat="1" applyAlignment="1">
      <alignment/>
    </xf>
    <xf numFmtId="0" fontId="0" fillId="0" borderId="0" xfId="0" applyFont="1" applyFill="1" applyAlignment="1">
      <alignment/>
    </xf>
    <xf numFmtId="0" fontId="0" fillId="0" borderId="0" xfId="0" applyFont="1" applyFill="1" applyBorder="1" applyAlignment="1">
      <alignment/>
    </xf>
    <xf numFmtId="182" fontId="0" fillId="0" borderId="0" xfId="0" applyNumberFormat="1" applyAlignment="1" applyProtection="1">
      <alignment/>
      <protection locked="0"/>
    </xf>
    <xf numFmtId="0" fontId="2" fillId="33" borderId="22"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14" fillId="33" borderId="11" xfId="0" applyFont="1" applyFill="1" applyBorder="1" applyAlignment="1" applyProtection="1">
      <alignment horizontal="left" vertical="center"/>
      <protection hidden="1"/>
    </xf>
    <xf numFmtId="0" fontId="34" fillId="0" borderId="0" xfId="0" applyFont="1" applyBorder="1" applyAlignment="1" applyProtection="1">
      <alignment horizontal="center"/>
      <protection hidden="1"/>
    </xf>
    <xf numFmtId="0" fontId="8" fillId="33" borderId="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protection hidden="1"/>
    </xf>
    <xf numFmtId="0" fontId="34" fillId="0" borderId="0" xfId="0" applyFont="1" applyBorder="1" applyAlignment="1" applyProtection="1">
      <alignment/>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30" fillId="0" borderId="27" xfId="54" applyFont="1" applyFill="1" applyBorder="1" applyAlignment="1" applyProtection="1">
      <alignment wrapText="1"/>
      <protection locked="0"/>
    </xf>
    <xf numFmtId="9" fontId="15" fillId="36" borderId="14" xfId="0" applyNumberFormat="1" applyFont="1" applyFill="1" applyBorder="1" applyAlignment="1" applyProtection="1">
      <alignment horizontal="center"/>
      <protection locked="0"/>
    </xf>
    <xf numFmtId="0" fontId="0" fillId="0" borderId="0" xfId="0" applyBorder="1" applyAlignment="1" applyProtection="1">
      <alignment/>
      <protection locked="0"/>
    </xf>
    <xf numFmtId="3" fontId="15" fillId="0" borderId="14" xfId="48" applyNumberFormat="1" applyFont="1" applyBorder="1" applyAlignment="1" applyProtection="1">
      <alignment/>
      <protection locked="0"/>
    </xf>
    <xf numFmtId="3" fontId="15" fillId="0" borderId="20" xfId="48" applyNumberFormat="1" applyFont="1" applyBorder="1" applyAlignment="1" applyProtection="1">
      <alignment/>
      <protection locked="0"/>
    </xf>
    <xf numFmtId="3" fontId="15" fillId="36" borderId="25" xfId="48" applyNumberFormat="1" applyFont="1" applyFill="1" applyBorder="1" applyAlignment="1" applyProtection="1">
      <alignment/>
      <protection hidden="1"/>
    </xf>
    <xf numFmtId="184" fontId="15" fillId="0" borderId="14" xfId="48" applyNumberFormat="1" applyFont="1" applyBorder="1" applyAlignment="1" applyProtection="1">
      <alignment/>
      <protection locked="0"/>
    </xf>
    <xf numFmtId="184" fontId="15" fillId="0" borderId="14" xfId="48" applyNumberFormat="1" applyFont="1" applyFill="1" applyBorder="1" applyAlignment="1" applyProtection="1">
      <alignment/>
      <protection locked="0"/>
    </xf>
    <xf numFmtId="184" fontId="15" fillId="0" borderId="20" xfId="48" applyNumberFormat="1" applyFont="1" applyBorder="1" applyAlignment="1" applyProtection="1">
      <alignment/>
      <protection locked="0"/>
    </xf>
    <xf numFmtId="184" fontId="15" fillId="36" borderId="25" xfId="48" applyNumberFormat="1" applyFont="1" applyFill="1" applyBorder="1" applyAlignment="1" applyProtection="1">
      <alignment/>
      <protection hidden="1"/>
    </xf>
    <xf numFmtId="3" fontId="15" fillId="0" borderId="14" xfId="0" applyNumberFormat="1" applyFont="1" applyBorder="1" applyAlignment="1" applyProtection="1">
      <alignment/>
      <protection locked="0"/>
    </xf>
    <xf numFmtId="3" fontId="15" fillId="0" borderId="20" xfId="0" applyNumberFormat="1" applyFont="1" applyBorder="1" applyAlignment="1" applyProtection="1">
      <alignment/>
      <protection locked="0"/>
    </xf>
    <xf numFmtId="0" fontId="25" fillId="0" borderId="0" xfId="0" applyFont="1" applyBorder="1" applyAlignment="1" applyProtection="1">
      <alignment horizontal="left"/>
      <protection hidden="1"/>
    </xf>
    <xf numFmtId="0" fontId="14"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textRotation="90" wrapText="1"/>
      <protection hidden="1"/>
    </xf>
    <xf numFmtId="0" fontId="15" fillId="0" borderId="0" xfId="0" applyFont="1" applyBorder="1" applyAlignment="1" applyProtection="1">
      <alignment/>
      <protection locked="0"/>
    </xf>
    <xf numFmtId="0" fontId="15" fillId="39" borderId="0" xfId="0" applyFont="1" applyFill="1" applyBorder="1" applyAlignment="1" applyProtection="1">
      <alignment/>
      <protection/>
    </xf>
    <xf numFmtId="49" fontId="0" fillId="0" borderId="0" xfId="0" applyNumberFormat="1" applyAlignment="1" applyProtection="1">
      <alignment/>
      <protection hidden="1"/>
    </xf>
    <xf numFmtId="49" fontId="13" fillId="0" borderId="0" xfId="0" applyNumberFormat="1" applyFont="1" applyFill="1" applyBorder="1" applyAlignment="1" applyProtection="1">
      <alignment vertical="top"/>
      <protection hidden="1"/>
    </xf>
    <xf numFmtId="49" fontId="13" fillId="0" borderId="16" xfId="0" applyNumberFormat="1" applyFont="1" applyFill="1" applyBorder="1" applyAlignment="1" applyProtection="1">
      <alignment vertical="top"/>
      <protection hidden="1"/>
    </xf>
    <xf numFmtId="49" fontId="0" fillId="0" borderId="63" xfId="0" applyNumberFormat="1" applyFill="1" applyBorder="1" applyAlignment="1" applyProtection="1">
      <alignment/>
      <protection locked="0"/>
    </xf>
    <xf numFmtId="49" fontId="0" fillId="0" borderId="64" xfId="0" applyNumberFormat="1" applyFill="1" applyBorder="1" applyAlignment="1" applyProtection="1">
      <alignment/>
      <protection locked="0"/>
    </xf>
    <xf numFmtId="49" fontId="0" fillId="0" borderId="65" xfId="0" applyNumberFormat="1" applyFill="1" applyBorder="1" applyAlignment="1" applyProtection="1">
      <alignment/>
      <protection hidden="1"/>
    </xf>
    <xf numFmtId="49" fontId="0" fillId="0" borderId="66" xfId="0" applyNumberFormat="1" applyFill="1" applyBorder="1" applyAlignment="1" applyProtection="1">
      <alignment/>
      <protection hidden="1"/>
    </xf>
    <xf numFmtId="49" fontId="0" fillId="0" borderId="64" xfId="0" applyNumberFormat="1" applyFill="1" applyBorder="1" applyAlignment="1" applyProtection="1">
      <alignment/>
      <protection hidden="1"/>
    </xf>
    <xf numFmtId="49" fontId="0" fillId="0" borderId="63" xfId="0" applyNumberFormat="1" applyFill="1" applyBorder="1" applyAlignment="1" applyProtection="1">
      <alignment/>
      <protection locked="0"/>
    </xf>
    <xf numFmtId="49" fontId="0" fillId="0" borderId="64" xfId="0" applyNumberFormat="1" applyFill="1" applyBorder="1" applyAlignment="1" applyProtection="1">
      <alignment/>
      <protection locked="0"/>
    </xf>
    <xf numFmtId="49" fontId="0" fillId="0" borderId="67" xfId="0" applyNumberFormat="1" applyFill="1" applyBorder="1" applyAlignment="1" applyProtection="1">
      <alignment/>
      <protection locked="0"/>
    </xf>
    <xf numFmtId="49" fontId="0" fillId="36" borderId="68" xfId="0" applyNumberFormat="1" applyFill="1" applyBorder="1" applyAlignment="1" applyProtection="1">
      <alignment/>
      <protection hidden="1"/>
    </xf>
    <xf numFmtId="49" fontId="0" fillId="36" borderId="69" xfId="0" applyNumberFormat="1" applyFill="1" applyBorder="1" applyAlignment="1" applyProtection="1">
      <alignment/>
      <protection hidden="1"/>
    </xf>
    <xf numFmtId="49" fontId="0" fillId="36" borderId="70" xfId="0" applyNumberFormat="1" applyFill="1" applyBorder="1" applyAlignment="1" applyProtection="1">
      <alignment/>
      <protection hidden="1"/>
    </xf>
    <xf numFmtId="49" fontId="0" fillId="0" borderId="0" xfId="0" applyNumberFormat="1" applyFill="1" applyAlignment="1" applyProtection="1">
      <alignment/>
      <protection locked="0"/>
    </xf>
    <xf numFmtId="49" fontId="0" fillId="0" borderId="0" xfId="0" applyNumberFormat="1" applyFill="1" applyBorder="1" applyAlignment="1" applyProtection="1">
      <alignment/>
      <protection locked="0"/>
    </xf>
    <xf numFmtId="49" fontId="0" fillId="0" borderId="40" xfId="0" applyNumberFormat="1" applyFill="1" applyBorder="1" applyAlignment="1" applyProtection="1">
      <alignment/>
      <protection hidden="1"/>
    </xf>
    <xf numFmtId="49" fontId="0" fillId="0" borderId="0" xfId="0" applyNumberFormat="1" applyFill="1" applyBorder="1" applyAlignment="1" applyProtection="1">
      <alignment/>
      <protection hidden="1"/>
    </xf>
    <xf numFmtId="49" fontId="0" fillId="0" borderId="28"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49" fontId="0" fillId="36" borderId="40" xfId="0" applyNumberFormat="1" applyFill="1" applyBorder="1" applyAlignment="1" applyProtection="1">
      <alignment/>
      <protection hidden="1"/>
    </xf>
    <xf numFmtId="49" fontId="0" fillId="36" borderId="0" xfId="0" applyNumberFormat="1" applyFill="1" applyBorder="1" applyAlignment="1" applyProtection="1">
      <alignment/>
      <protection hidden="1"/>
    </xf>
    <xf numFmtId="49" fontId="0" fillId="36" borderId="16" xfId="0" applyNumberFormat="1" applyFill="1" applyBorder="1" applyAlignment="1" applyProtection="1">
      <alignment/>
      <protection hidden="1"/>
    </xf>
    <xf numFmtId="4" fontId="30" fillId="0" borderId="27" xfId="54" applyNumberFormat="1" applyFont="1" applyFill="1" applyBorder="1" applyAlignment="1" applyProtection="1">
      <alignment horizontal="right" wrapText="1"/>
      <protection locked="0"/>
    </xf>
    <xf numFmtId="0" fontId="30" fillId="0" borderId="27" xfId="54" applyFont="1" applyFill="1" applyBorder="1" applyAlignment="1" applyProtection="1">
      <alignment horizontal="right" wrapText="1"/>
      <protection locked="0"/>
    </xf>
    <xf numFmtId="10" fontId="30" fillId="0" borderId="27" xfId="54" applyNumberFormat="1" applyFont="1" applyFill="1" applyBorder="1" applyAlignment="1" applyProtection="1">
      <alignment horizontal="right" wrapText="1"/>
      <protection locked="0"/>
    </xf>
    <xf numFmtId="0" fontId="30" fillId="34" borderId="26" xfId="54" applyFont="1" applyFill="1" applyBorder="1" applyAlignment="1" applyProtection="1">
      <alignment horizontal="center"/>
      <protection locked="0"/>
    </xf>
    <xf numFmtId="0" fontId="0" fillId="0" borderId="0" xfId="0" applyAlignment="1" applyProtection="1">
      <alignment vertical="center" textRotation="90"/>
      <protection hidden="1"/>
    </xf>
    <xf numFmtId="0" fontId="0" fillId="0" borderId="0" xfId="0" applyAlignment="1">
      <alignment vertical="center" textRotation="90"/>
    </xf>
    <xf numFmtId="0" fontId="35" fillId="0" borderId="0" xfId="0" applyFont="1" applyFill="1" applyBorder="1" applyAlignment="1">
      <alignment/>
    </xf>
    <xf numFmtId="0" fontId="30" fillId="0" borderId="0" xfId="54" applyFont="1" applyFill="1" applyBorder="1" applyAlignment="1">
      <alignment horizontal="right" wrapText="1"/>
      <protection/>
    </xf>
    <xf numFmtId="0" fontId="0" fillId="0" borderId="0" xfId="0" applyFont="1" applyAlignment="1">
      <alignment/>
    </xf>
    <xf numFmtId="0" fontId="2" fillId="33" borderId="0" xfId="0" applyFont="1" applyFill="1" applyAlignment="1">
      <alignment vertical="center"/>
    </xf>
    <xf numFmtId="0" fontId="7" fillId="33" borderId="0" xfId="0" applyFont="1" applyFill="1" applyAlignment="1">
      <alignment vertical="center"/>
    </xf>
    <xf numFmtId="0" fontId="2" fillId="0" borderId="0" xfId="0" applyFont="1" applyAlignment="1">
      <alignment vertical="center"/>
    </xf>
    <xf numFmtId="0" fontId="0" fillId="33" borderId="0" xfId="0" applyFont="1" applyFill="1" applyAlignment="1">
      <alignment horizontal="left" vertical="center"/>
    </xf>
    <xf numFmtId="0" fontId="2" fillId="33" borderId="0" xfId="0" applyFont="1" applyFill="1" applyAlignment="1">
      <alignment horizontal="left" vertical="center" indent="1"/>
    </xf>
    <xf numFmtId="0" fontId="0" fillId="33" borderId="0" xfId="0" applyFont="1" applyFill="1" applyAlignment="1">
      <alignment horizontal="center" vertical="center"/>
    </xf>
    <xf numFmtId="0" fontId="7" fillId="33" borderId="16" xfId="0" applyFont="1" applyFill="1" applyBorder="1" applyAlignment="1">
      <alignment vertical="center"/>
    </xf>
    <xf numFmtId="0" fontId="2" fillId="33" borderId="16" xfId="0" applyFont="1" applyFill="1" applyBorder="1" applyAlignment="1">
      <alignment vertical="center"/>
    </xf>
    <xf numFmtId="0" fontId="99" fillId="0" borderId="0" xfId="0" applyFont="1" applyAlignment="1" applyProtection="1">
      <alignment/>
      <protection hidden="1"/>
    </xf>
    <xf numFmtId="0" fontId="17" fillId="0" borderId="0" xfId="44" applyAlignment="1" applyProtection="1">
      <alignment/>
      <protection/>
    </xf>
    <xf numFmtId="0" fontId="7" fillId="33" borderId="0" xfId="0" applyFont="1" applyFill="1" applyBorder="1" applyAlignment="1" applyProtection="1">
      <alignment horizontal="center"/>
      <protection/>
    </xf>
    <xf numFmtId="0" fontId="100" fillId="0" borderId="0" xfId="0" applyFont="1" applyAlignment="1">
      <alignment/>
    </xf>
    <xf numFmtId="0" fontId="100" fillId="33" borderId="0" xfId="0" applyFont="1" applyFill="1" applyAlignment="1">
      <alignment vertical="center"/>
    </xf>
    <xf numFmtId="0" fontId="7" fillId="33" borderId="0" xfId="0" applyFont="1" applyFill="1" applyAlignment="1">
      <alignment horizontal="right" vertical="center"/>
    </xf>
    <xf numFmtId="0" fontId="101" fillId="33" borderId="0" xfId="0" applyFont="1" applyFill="1" applyBorder="1" applyAlignment="1" applyProtection="1">
      <alignment/>
      <protection/>
    </xf>
    <xf numFmtId="0" fontId="35" fillId="0" borderId="0" xfId="0" applyFont="1" applyAlignment="1">
      <alignment vertical="top"/>
    </xf>
    <xf numFmtId="0" fontId="35" fillId="0" borderId="0" xfId="0" applyFont="1" applyAlignment="1">
      <alignment vertical="center"/>
    </xf>
    <xf numFmtId="0" fontId="7" fillId="0" borderId="0" xfId="0" applyFont="1" applyAlignment="1" applyProtection="1">
      <alignment/>
      <protection/>
    </xf>
    <xf numFmtId="0" fontId="7" fillId="0" borderId="0" xfId="0" applyFont="1" applyAlignment="1">
      <alignment/>
    </xf>
    <xf numFmtId="0" fontId="1" fillId="0" borderId="0" xfId="0" applyFont="1" applyAlignment="1">
      <alignment/>
    </xf>
    <xf numFmtId="0" fontId="43" fillId="0" borderId="0" xfId="0" applyFont="1" applyFill="1" applyBorder="1" applyAlignment="1">
      <alignment/>
    </xf>
    <xf numFmtId="0" fontId="3" fillId="0" borderId="15" xfId="0" applyFont="1" applyFill="1" applyBorder="1" applyAlignment="1" applyProtection="1">
      <alignment/>
      <protection hidden="1"/>
    </xf>
    <xf numFmtId="0" fontId="3" fillId="0" borderId="16" xfId="0" applyFont="1" applyFill="1" applyBorder="1" applyAlignment="1" applyProtection="1">
      <alignment/>
      <protection hidden="1"/>
    </xf>
    <xf numFmtId="0" fontId="43" fillId="0" borderId="0" xfId="0" applyFont="1" applyAlignment="1" applyProtection="1">
      <alignment/>
      <protection hidden="1"/>
    </xf>
    <xf numFmtId="0" fontId="43" fillId="0" borderId="0" xfId="0" applyFont="1" applyAlignment="1">
      <alignment/>
    </xf>
    <xf numFmtId="0" fontId="0" fillId="0" borderId="0" xfId="0" applyFont="1" applyAlignment="1" applyProtection="1">
      <alignment/>
      <protection hidden="1"/>
    </xf>
    <xf numFmtId="0" fontId="7" fillId="0" borderId="0" xfId="0" applyFont="1" applyAlignment="1">
      <alignment horizontal="right"/>
    </xf>
    <xf numFmtId="0" fontId="102" fillId="0" borderId="0" xfId="0" applyFont="1" applyAlignment="1" applyProtection="1">
      <alignment/>
      <protection hidden="1"/>
    </xf>
    <xf numFmtId="182" fontId="102" fillId="0" borderId="0" xfId="0" applyNumberFormat="1" applyFont="1" applyAlignment="1" applyProtection="1">
      <alignment/>
      <protection hidden="1"/>
    </xf>
    <xf numFmtId="0" fontId="2" fillId="0" borderId="14" xfId="0" applyFont="1" applyBorder="1" applyAlignment="1" applyProtection="1">
      <alignment vertical="center"/>
      <protection locked="0"/>
    </xf>
    <xf numFmtId="0" fontId="0" fillId="0" borderId="14" xfId="0" applyBorder="1" applyAlignment="1" applyProtection="1">
      <alignment vertical="center"/>
      <protection locked="0"/>
    </xf>
    <xf numFmtId="0" fontId="9" fillId="40" borderId="29" xfId="0" applyFont="1" applyFill="1" applyBorder="1" applyAlignment="1" applyProtection="1">
      <alignment vertical="center"/>
      <protection hidden="1"/>
    </xf>
    <xf numFmtId="0" fontId="7" fillId="40" borderId="60" xfId="0" applyFont="1" applyFill="1" applyBorder="1" applyAlignment="1" applyProtection="1">
      <alignment vertical="center"/>
      <protection hidden="1"/>
    </xf>
    <xf numFmtId="0" fontId="14" fillId="41" borderId="25" xfId="0" applyFont="1" applyFill="1" applyBorder="1" applyAlignment="1" applyProtection="1">
      <alignment horizontal="center" vertical="center"/>
      <protection/>
    </xf>
    <xf numFmtId="0" fontId="15" fillId="41" borderId="25" xfId="0" applyFont="1" applyFill="1" applyBorder="1" applyAlignment="1" applyProtection="1">
      <alignment/>
      <protection/>
    </xf>
    <xf numFmtId="0" fontId="15" fillId="41" borderId="25" xfId="0" applyFont="1" applyFill="1" applyBorder="1" applyAlignment="1" applyProtection="1">
      <alignment/>
      <protection hidden="1"/>
    </xf>
    <xf numFmtId="42" fontId="15" fillId="41" borderId="25" xfId="48" applyNumberFormat="1" applyFont="1" applyFill="1" applyBorder="1" applyAlignment="1" applyProtection="1">
      <alignment/>
      <protection hidden="1"/>
    </xf>
    <xf numFmtId="0" fontId="15" fillId="41" borderId="25" xfId="0" applyFont="1" applyFill="1" applyBorder="1" applyAlignment="1" applyProtection="1">
      <alignment horizontal="center"/>
      <protection/>
    </xf>
    <xf numFmtId="0" fontId="20" fillId="41" borderId="25" xfId="0" applyFont="1" applyFill="1" applyBorder="1" applyAlignment="1" applyProtection="1">
      <alignment/>
      <protection/>
    </xf>
    <xf numFmtId="0" fontId="103" fillId="41" borderId="29" xfId="0" applyFont="1" applyFill="1" applyBorder="1" applyAlignment="1" applyProtection="1">
      <alignment vertical="center"/>
      <protection hidden="1"/>
    </xf>
    <xf numFmtId="0" fontId="104" fillId="41" borderId="60" xfId="0" applyFont="1" applyFill="1" applyBorder="1" applyAlignment="1" applyProtection="1">
      <alignment vertical="center"/>
      <protection hidden="1"/>
    </xf>
    <xf numFmtId="0" fontId="102" fillId="41" borderId="60" xfId="0" applyFont="1" applyFill="1" applyBorder="1" applyAlignment="1" applyProtection="1">
      <alignment/>
      <protection hidden="1"/>
    </xf>
    <xf numFmtId="0" fontId="104" fillId="41" borderId="62" xfId="0" applyFont="1" applyFill="1" applyBorder="1" applyAlignment="1" applyProtection="1">
      <alignment vertical="center"/>
      <protection hidden="1"/>
    </xf>
    <xf numFmtId="0" fontId="15" fillId="42" borderId="24" xfId="0" applyFont="1" applyFill="1" applyBorder="1" applyAlignment="1" applyProtection="1">
      <alignment horizontal="center" vertical="center" wrapText="1"/>
      <protection hidden="1"/>
    </xf>
    <xf numFmtId="0" fontId="0" fillId="43" borderId="71" xfId="0" applyNumberFormat="1" applyFill="1" applyBorder="1" applyAlignment="1" applyProtection="1">
      <alignment horizontal="center"/>
      <protection hidden="1"/>
    </xf>
    <xf numFmtId="0" fontId="0" fillId="43" borderId="72" xfId="0" applyNumberFormat="1" applyFill="1" applyBorder="1" applyAlignment="1" applyProtection="1">
      <alignment horizontal="center"/>
      <protection hidden="1"/>
    </xf>
    <xf numFmtId="0" fontId="0" fillId="42" borderId="32" xfId="0" applyFill="1" applyBorder="1" applyAlignment="1" applyProtection="1">
      <alignment horizontal="center" vertical="center"/>
      <protection hidden="1"/>
    </xf>
    <xf numFmtId="0" fontId="0" fillId="42" borderId="24" xfId="0" applyFill="1" applyBorder="1" applyAlignment="1" applyProtection="1">
      <alignment horizontal="center" vertical="center"/>
      <protection hidden="1"/>
    </xf>
    <xf numFmtId="0" fontId="0" fillId="42" borderId="14" xfId="0" applyFont="1" applyFill="1" applyBorder="1" applyAlignment="1" applyProtection="1">
      <alignment horizontal="center" vertical="center" wrapText="1"/>
      <protection hidden="1"/>
    </xf>
    <xf numFmtId="182" fontId="0" fillId="42" borderId="29" xfId="0" applyNumberFormat="1" applyFill="1" applyBorder="1" applyAlignment="1" applyProtection="1">
      <alignment horizontal="center" vertical="center"/>
      <protection hidden="1"/>
    </xf>
    <xf numFmtId="182" fontId="0" fillId="42" borderId="73" xfId="0" applyNumberFormat="1" applyFill="1" applyBorder="1" applyAlignment="1" applyProtection="1">
      <alignment horizontal="center" vertical="center"/>
      <protection hidden="1"/>
    </xf>
    <xf numFmtId="182" fontId="0" fillId="42" borderId="14" xfId="0" applyNumberFormat="1" applyFill="1" applyBorder="1" applyAlignment="1" applyProtection="1">
      <alignment horizontal="center" vertical="center"/>
      <protection hidden="1"/>
    </xf>
    <xf numFmtId="182" fontId="0" fillId="42" borderId="60" xfId="0" applyNumberFormat="1" applyFill="1" applyBorder="1" applyAlignment="1" applyProtection="1">
      <alignment horizontal="center" vertical="center"/>
      <protection hidden="1"/>
    </xf>
    <xf numFmtId="49" fontId="0" fillId="42" borderId="74" xfId="0" applyNumberFormat="1" applyFill="1" applyBorder="1" applyAlignment="1" applyProtection="1">
      <alignment horizontal="center" vertical="center"/>
      <protection hidden="1"/>
    </xf>
    <xf numFmtId="14" fontId="0" fillId="42" borderId="60" xfId="0" applyNumberFormat="1" applyFill="1" applyBorder="1" applyAlignment="1" applyProtection="1">
      <alignment horizontal="center" vertical="center"/>
      <protection hidden="1"/>
    </xf>
    <xf numFmtId="49" fontId="0" fillId="42" borderId="14" xfId="0" applyNumberFormat="1" applyFill="1" applyBorder="1" applyAlignment="1" applyProtection="1">
      <alignment horizontal="center" vertical="center"/>
      <protection hidden="1"/>
    </xf>
    <xf numFmtId="0" fontId="105" fillId="41" borderId="14" xfId="0" applyFont="1" applyFill="1" applyBorder="1" applyAlignment="1">
      <alignment horizontal="center"/>
    </xf>
    <xf numFmtId="0" fontId="106" fillId="41" borderId="14" xfId="0" applyFont="1" applyFill="1" applyBorder="1" applyAlignment="1" applyProtection="1">
      <alignment horizontal="center" vertical="center"/>
      <protection/>
    </xf>
    <xf numFmtId="0" fontId="106" fillId="41" borderId="29" xfId="0" applyFont="1" applyFill="1" applyBorder="1" applyAlignment="1" applyProtection="1">
      <alignment horizontal="center" vertical="center"/>
      <protection/>
    </xf>
    <xf numFmtId="0" fontId="106" fillId="41" borderId="14" xfId="0" applyFont="1" applyFill="1" applyBorder="1" applyAlignment="1" applyProtection="1">
      <alignment vertical="center"/>
      <protection/>
    </xf>
    <xf numFmtId="0" fontId="0" fillId="0" borderId="0" xfId="0" applyFill="1" applyAlignment="1">
      <alignment vertical="top"/>
    </xf>
    <xf numFmtId="0" fontId="44" fillId="0" borderId="0" xfId="0" applyFont="1" applyFill="1" applyAlignment="1">
      <alignment vertical="top"/>
    </xf>
    <xf numFmtId="0" fontId="7" fillId="43" borderId="29" xfId="0" applyFont="1" applyFill="1" applyBorder="1" applyAlignment="1" applyProtection="1">
      <alignment vertical="center"/>
      <protection hidden="1"/>
    </xf>
    <xf numFmtId="0" fontId="7" fillId="43" borderId="60" xfId="0" applyFont="1" applyFill="1" applyBorder="1" applyAlignment="1" applyProtection="1">
      <alignment vertical="center"/>
      <protection hidden="1"/>
    </xf>
    <xf numFmtId="0" fontId="7" fillId="43" borderId="28" xfId="0" applyFont="1" applyFill="1" applyBorder="1" applyAlignment="1" applyProtection="1">
      <alignment/>
      <protection hidden="1"/>
    </xf>
    <xf numFmtId="0" fontId="7" fillId="43" borderId="28" xfId="0" applyFont="1" applyFill="1" applyBorder="1" applyAlignment="1" applyProtection="1">
      <alignment vertical="center"/>
      <protection hidden="1"/>
    </xf>
    <xf numFmtId="0" fontId="7" fillId="43" borderId="35" xfId="0" applyFont="1" applyFill="1" applyBorder="1" applyAlignment="1" applyProtection="1">
      <alignment vertical="center"/>
      <protection hidden="1"/>
    </xf>
    <xf numFmtId="0" fontId="7" fillId="43" borderId="30" xfId="0" applyFont="1" applyFill="1" applyBorder="1" applyAlignment="1" applyProtection="1">
      <alignment/>
      <protection hidden="1"/>
    </xf>
    <xf numFmtId="0" fontId="7" fillId="43" borderId="30" xfId="0" applyFont="1" applyFill="1" applyBorder="1" applyAlignment="1" applyProtection="1">
      <alignment vertical="center"/>
      <protection hidden="1"/>
    </xf>
    <xf numFmtId="0" fontId="7" fillId="43" borderId="48" xfId="0" applyFont="1" applyFill="1" applyBorder="1" applyAlignment="1" applyProtection="1">
      <alignment vertical="center"/>
      <protection hidden="1"/>
    </xf>
    <xf numFmtId="0" fontId="107" fillId="0" borderId="0" xfId="51" applyFont="1" applyAlignment="1">
      <alignment horizontal="left" vertical="center"/>
      <protection/>
    </xf>
    <xf numFmtId="0" fontId="82" fillId="0" borderId="0" xfId="51">
      <alignment/>
      <protection/>
    </xf>
    <xf numFmtId="0" fontId="105" fillId="41" borderId="75" xfId="52" applyFont="1" applyFill="1" applyBorder="1" applyAlignment="1">
      <alignment horizontal="left" vertical="center"/>
      <protection/>
    </xf>
    <xf numFmtId="0" fontId="105" fillId="41" borderId="76" xfId="52" applyFont="1" applyFill="1" applyBorder="1" applyAlignment="1">
      <alignment horizontal="left" vertical="center"/>
      <protection/>
    </xf>
    <xf numFmtId="0" fontId="105" fillId="0" borderId="0" xfId="52" applyFont="1" applyAlignment="1">
      <alignment horizontal="left" vertical="center"/>
      <protection/>
    </xf>
    <xf numFmtId="0" fontId="107" fillId="0" borderId="0" xfId="51" applyFont="1" applyAlignment="1">
      <alignment vertical="center"/>
      <protection/>
    </xf>
    <xf numFmtId="0" fontId="3" fillId="0" borderId="0" xfId="52" applyFont="1">
      <alignment/>
      <protection/>
    </xf>
    <xf numFmtId="0" fontId="0" fillId="0" borderId="0" xfId="52">
      <alignment/>
      <protection/>
    </xf>
    <xf numFmtId="0" fontId="47" fillId="0" borderId="0" xfId="52" applyFont="1" applyAlignment="1">
      <alignment vertical="center"/>
      <protection/>
    </xf>
    <xf numFmtId="0" fontId="108" fillId="0" borderId="0" xfId="51" applyFont="1" applyAlignment="1">
      <alignment vertical="center"/>
      <protection/>
    </xf>
    <xf numFmtId="0" fontId="48" fillId="0" borderId="0" xfId="52" applyFont="1">
      <alignment/>
      <protection/>
    </xf>
    <xf numFmtId="0" fontId="108" fillId="0" borderId="0" xfId="51" applyFont="1" applyAlignment="1">
      <alignment vertical="center" wrapText="1"/>
      <protection/>
    </xf>
    <xf numFmtId="0" fontId="107" fillId="0" borderId="77" xfId="51" applyFont="1" applyBorder="1" applyAlignment="1">
      <alignment vertical="center"/>
      <protection/>
    </xf>
    <xf numFmtId="0" fontId="107" fillId="0" borderId="78" xfId="51" applyFont="1" applyBorder="1" applyAlignment="1">
      <alignment vertical="center"/>
      <protection/>
    </xf>
    <xf numFmtId="0" fontId="107" fillId="0" borderId="77" xfId="51" applyFont="1" applyBorder="1">
      <alignment/>
      <protection/>
    </xf>
    <xf numFmtId="0" fontId="107" fillId="0" borderId="0" xfId="51" applyFont="1">
      <alignment/>
      <protection/>
    </xf>
    <xf numFmtId="0" fontId="107" fillId="0" borderId="78" xfId="51" applyFont="1" applyBorder="1">
      <alignment/>
      <protection/>
    </xf>
    <xf numFmtId="0" fontId="109" fillId="0" borderId="0" xfId="51" applyFont="1" applyAlignment="1">
      <alignment horizontal="left" vertical="top"/>
      <protection/>
    </xf>
    <xf numFmtId="14" fontId="110" fillId="0" borderId="0" xfId="51" applyNumberFormat="1" applyFont="1" applyAlignment="1">
      <alignment horizontal="right" vertical="top"/>
      <protection/>
    </xf>
    <xf numFmtId="0" fontId="107" fillId="41" borderId="0" xfId="51" applyFont="1" applyFill="1" applyAlignment="1">
      <alignment vertical="center"/>
      <protection/>
    </xf>
    <xf numFmtId="0" fontId="48" fillId="0" borderId="0" xfId="52" applyFont="1" applyAlignment="1">
      <alignment vertical="top" wrapText="1"/>
      <protection/>
    </xf>
    <xf numFmtId="0" fontId="0" fillId="0" borderId="0" xfId="0" applyAlignment="1">
      <alignment vertical="top"/>
    </xf>
    <xf numFmtId="0" fontId="33" fillId="41" borderId="49" xfId="0" applyFont="1" applyFill="1" applyBorder="1" applyAlignment="1" applyProtection="1">
      <alignment vertical="center"/>
      <protection hidden="1"/>
    </xf>
    <xf numFmtId="0" fontId="29" fillId="41" borderId="30" xfId="0" applyFont="1" applyFill="1" applyBorder="1" applyAlignment="1" applyProtection="1">
      <alignment vertical="center"/>
      <protection hidden="1"/>
    </xf>
    <xf numFmtId="0" fontId="29" fillId="41" borderId="0" xfId="0" applyFont="1" applyFill="1" applyBorder="1" applyAlignment="1" applyProtection="1">
      <alignment vertical="center"/>
      <protection hidden="1"/>
    </xf>
    <xf numFmtId="0" fontId="0" fillId="41" borderId="0" xfId="0" applyFill="1" applyAlignment="1">
      <alignment/>
    </xf>
    <xf numFmtId="0" fontId="0" fillId="41" borderId="0" xfId="0" applyFill="1" applyAlignment="1" applyProtection="1">
      <alignment/>
      <protection hidden="1"/>
    </xf>
    <xf numFmtId="0" fontId="2" fillId="0" borderId="14" xfId="0" applyFont="1" applyBorder="1" applyAlignment="1" applyProtection="1">
      <alignment vertical="center" wrapText="1"/>
      <protection locked="0"/>
    </xf>
    <xf numFmtId="0" fontId="34" fillId="0" borderId="0" xfId="0" applyFont="1" applyAlignment="1">
      <alignment wrapText="1"/>
    </xf>
    <xf numFmtId="0" fontId="15" fillId="0" borderId="14" xfId="0" applyFont="1" applyBorder="1" applyAlignment="1" applyProtection="1">
      <alignment wrapText="1"/>
      <protection locked="0"/>
    </xf>
    <xf numFmtId="0" fontId="15" fillId="36" borderId="14" xfId="0" applyFont="1" applyFill="1" applyBorder="1" applyAlignment="1" applyProtection="1">
      <alignment horizontal="center" wrapText="1"/>
      <protection hidden="1"/>
    </xf>
    <xf numFmtId="9" fontId="15" fillId="36" borderId="14" xfId="0" applyNumberFormat="1" applyFont="1" applyFill="1" applyBorder="1" applyAlignment="1" applyProtection="1">
      <alignment horizontal="center" wrapText="1"/>
      <protection locked="0"/>
    </xf>
    <xf numFmtId="3" fontId="15" fillId="0" borderId="14" xfId="0" applyNumberFormat="1" applyFont="1" applyBorder="1" applyAlignment="1" applyProtection="1">
      <alignment horizontal="center" wrapText="1"/>
      <protection locked="0"/>
    </xf>
    <xf numFmtId="0" fontId="0" fillId="0" borderId="0" xfId="0" applyFill="1" applyBorder="1" applyAlignment="1" applyProtection="1">
      <alignment wrapText="1"/>
      <protection locked="0"/>
    </xf>
    <xf numFmtId="0" fontId="0" fillId="0" borderId="32" xfId="0" applyFill="1" applyBorder="1" applyAlignment="1" applyProtection="1">
      <alignment wrapText="1"/>
      <protection locked="0"/>
    </xf>
    <xf numFmtId="182" fontId="0" fillId="0" borderId="32" xfId="0" applyNumberFormat="1" applyFill="1" applyBorder="1" applyAlignment="1" applyProtection="1">
      <alignment wrapText="1"/>
      <protection locked="0"/>
    </xf>
    <xf numFmtId="182" fontId="0" fillId="0" borderId="38" xfId="0" applyNumberFormat="1" applyFill="1" applyBorder="1" applyAlignment="1" applyProtection="1">
      <alignment wrapText="1"/>
      <protection hidden="1"/>
    </xf>
    <xf numFmtId="0" fontId="2" fillId="33" borderId="12"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107" fillId="0" borderId="77" xfId="51" applyFont="1" applyBorder="1" applyAlignment="1">
      <alignment horizontal="left" vertical="center"/>
      <protection/>
    </xf>
    <xf numFmtId="0" fontId="107" fillId="0" borderId="0" xfId="51" applyFont="1" applyAlignment="1">
      <alignment horizontal="left" vertical="center"/>
      <protection/>
    </xf>
    <xf numFmtId="0" fontId="107" fillId="0" borderId="78" xfId="51" applyFont="1" applyBorder="1" applyAlignment="1">
      <alignment horizontal="left" vertical="center"/>
      <protection/>
    </xf>
    <xf numFmtId="0" fontId="107" fillId="0" borderId="0" xfId="51" applyFont="1" applyAlignment="1">
      <alignment horizontal="left" vertical="center" wrapText="1"/>
      <protection/>
    </xf>
    <xf numFmtId="14" fontId="45" fillId="0" borderId="0" xfId="0" applyNumberFormat="1" applyFont="1" applyFill="1" applyAlignment="1">
      <alignment horizontal="right" vertical="top"/>
    </xf>
    <xf numFmtId="0" fontId="102" fillId="33" borderId="13" xfId="0" applyFont="1" applyFill="1" applyBorder="1" applyAlignment="1" applyProtection="1">
      <alignment vertical="center"/>
      <protection hidden="1"/>
    </xf>
    <xf numFmtId="0" fontId="43" fillId="0" borderId="0" xfId="0" applyFont="1" applyFill="1" applyAlignment="1">
      <alignment horizontal="left" vertical="center"/>
    </xf>
    <xf numFmtId="0" fontId="27" fillId="41" borderId="0" xfId="0" applyFont="1" applyFill="1" applyAlignment="1" applyProtection="1">
      <alignment/>
      <protection hidden="1"/>
    </xf>
    <xf numFmtId="0" fontId="34" fillId="0" borderId="0" xfId="0" applyFont="1" applyFill="1" applyAlignment="1">
      <alignment/>
    </xf>
    <xf numFmtId="0" fontId="0" fillId="0" borderId="0" xfId="0" applyFont="1" applyFill="1" applyAlignment="1">
      <alignment/>
    </xf>
    <xf numFmtId="0" fontId="27" fillId="0" borderId="0" xfId="0" applyFont="1" applyFill="1" applyAlignment="1" applyProtection="1">
      <alignment/>
      <protection hidden="1"/>
    </xf>
    <xf numFmtId="0" fontId="0" fillId="0" borderId="0" xfId="0" applyFill="1" applyAlignment="1" applyProtection="1">
      <alignment/>
      <protection hidden="1"/>
    </xf>
    <xf numFmtId="0" fontId="7" fillId="40" borderId="14" xfId="0" applyFont="1" applyFill="1" applyBorder="1" applyAlignment="1" applyProtection="1">
      <alignment horizontal="center"/>
      <protection hidden="1"/>
    </xf>
    <xf numFmtId="0" fontId="106" fillId="41" borderId="14" xfId="0" applyFont="1" applyFill="1" applyBorder="1" applyAlignment="1" applyProtection="1">
      <alignment horizontal="left" vertical="center"/>
      <protection/>
    </xf>
    <xf numFmtId="0" fontId="15" fillId="41" borderId="79" xfId="0" applyFont="1" applyFill="1" applyBorder="1" applyAlignment="1" applyProtection="1">
      <alignment/>
      <protection/>
    </xf>
    <xf numFmtId="0" fontId="15" fillId="41" borderId="80" xfId="0" applyFont="1" applyFill="1" applyBorder="1" applyAlignment="1" applyProtection="1">
      <alignment/>
      <protection/>
    </xf>
    <xf numFmtId="0" fontId="15" fillId="41" borderId="80" xfId="0" applyFont="1" applyFill="1" applyBorder="1" applyAlignment="1" applyProtection="1">
      <alignment horizontal="center"/>
      <protection/>
    </xf>
    <xf numFmtId="0" fontId="20" fillId="41" borderId="80" xfId="0" applyFont="1" applyFill="1" applyBorder="1" applyAlignment="1" applyProtection="1">
      <alignment/>
      <protection/>
    </xf>
    <xf numFmtId="0" fontId="15" fillId="41" borderId="81" xfId="0" applyFont="1" applyFill="1" applyBorder="1" applyAlignment="1" applyProtection="1">
      <alignment/>
      <protection/>
    </xf>
    <xf numFmtId="0" fontId="14" fillId="41" borderId="79" xfId="0" applyFont="1" applyFill="1" applyBorder="1" applyAlignment="1" applyProtection="1">
      <alignment horizontal="center" vertical="center"/>
      <protection/>
    </xf>
    <xf numFmtId="0" fontId="14" fillId="41" borderId="80" xfId="0" applyFont="1" applyFill="1" applyBorder="1" applyAlignment="1" applyProtection="1">
      <alignment horizontal="center" vertical="center"/>
      <protection/>
    </xf>
    <xf numFmtId="0" fontId="15" fillId="41" borderId="80" xfId="0" applyFont="1" applyFill="1" applyBorder="1" applyAlignment="1" applyProtection="1">
      <alignment/>
      <protection hidden="1"/>
    </xf>
    <xf numFmtId="42" fontId="15" fillId="41" borderId="81" xfId="48" applyNumberFormat="1" applyFont="1" applyFill="1" applyBorder="1" applyAlignment="1" applyProtection="1">
      <alignment/>
      <protection hidden="1"/>
    </xf>
    <xf numFmtId="0" fontId="102" fillId="33" borderId="18" xfId="0" applyFont="1" applyFill="1" applyBorder="1" applyAlignment="1" applyProtection="1">
      <alignment vertical="center"/>
      <protection hidden="1"/>
    </xf>
    <xf numFmtId="0" fontId="105" fillId="41" borderId="82" xfId="52" applyFont="1" applyFill="1" applyBorder="1" applyAlignment="1">
      <alignment horizontal="left" vertical="center"/>
      <protection/>
    </xf>
    <xf numFmtId="0" fontId="107" fillId="0" borderId="0" xfId="51" applyFont="1" applyAlignment="1">
      <alignment horizontal="left" vertical="center"/>
      <protection/>
    </xf>
    <xf numFmtId="0" fontId="107" fillId="0" borderId="77" xfId="51" applyFont="1" applyBorder="1" applyAlignment="1">
      <alignment horizontal="left" vertical="center"/>
      <protection/>
    </xf>
    <xf numFmtId="0" fontId="107" fillId="0" borderId="78" xfId="51" applyFont="1" applyBorder="1" applyAlignment="1">
      <alignment horizontal="left" vertical="center"/>
      <protection/>
    </xf>
    <xf numFmtId="2" fontId="0" fillId="13" borderId="0" xfId="0" applyNumberFormat="1" applyFill="1" applyAlignment="1">
      <alignment/>
    </xf>
    <xf numFmtId="2" fontId="0" fillId="0" borderId="0" xfId="0" applyNumberFormat="1" applyAlignment="1">
      <alignment/>
    </xf>
    <xf numFmtId="0" fontId="107" fillId="0" borderId="0" xfId="51" applyFont="1" applyBorder="1" applyAlignment="1">
      <alignment horizontal="left" vertical="center"/>
      <protection/>
    </xf>
    <xf numFmtId="0" fontId="82" fillId="0" borderId="0" xfId="51" applyBorder="1">
      <alignment/>
      <protection/>
    </xf>
    <xf numFmtId="0" fontId="0" fillId="0" borderId="0" xfId="52" applyBorder="1">
      <alignment/>
      <protection/>
    </xf>
    <xf numFmtId="0" fontId="52" fillId="0" borderId="27" xfId="55" applyFont="1" applyFill="1" applyBorder="1" applyAlignment="1">
      <alignment horizontal="right" wrapText="1"/>
      <protection/>
    </xf>
    <xf numFmtId="0" fontId="0" fillId="0" borderId="0" xfId="0" applyAlignment="1">
      <alignment horizontal="center"/>
    </xf>
    <xf numFmtId="0" fontId="107" fillId="0" borderId="77" xfId="51" applyFont="1" applyBorder="1" applyAlignment="1">
      <alignment horizontal="left" vertical="center" wrapText="1"/>
      <protection/>
    </xf>
    <xf numFmtId="0" fontId="107" fillId="0" borderId="0" xfId="51" applyFont="1" applyAlignment="1">
      <alignment horizontal="left" vertical="center" wrapText="1"/>
      <protection/>
    </xf>
    <xf numFmtId="0" fontId="107" fillId="0" borderId="78" xfId="51" applyFont="1" applyBorder="1" applyAlignment="1">
      <alignment horizontal="left" vertical="center" wrapText="1"/>
      <protection/>
    </xf>
    <xf numFmtId="0" fontId="108" fillId="44" borderId="83" xfId="51" applyFont="1" applyFill="1" applyBorder="1" applyAlignment="1">
      <alignment vertical="center"/>
      <protection/>
    </xf>
    <xf numFmtId="0" fontId="108" fillId="44" borderId="84" xfId="51" applyFont="1" applyFill="1" applyBorder="1" applyAlignment="1">
      <alignment vertical="center"/>
      <protection/>
    </xf>
    <xf numFmtId="0" fontId="108" fillId="44" borderId="85" xfId="51" applyFont="1" applyFill="1" applyBorder="1" applyAlignment="1">
      <alignment vertical="center"/>
      <protection/>
    </xf>
    <xf numFmtId="0" fontId="107" fillId="0" borderId="0" xfId="51" applyFont="1" applyAlignment="1">
      <alignment horizontal="left" vertical="center"/>
      <protection/>
    </xf>
    <xf numFmtId="0" fontId="107" fillId="0" borderId="86" xfId="51" applyFont="1" applyBorder="1" applyAlignment="1">
      <alignment horizontal="left" vertical="center"/>
      <protection/>
    </xf>
    <xf numFmtId="0" fontId="107" fillId="0" borderId="87" xfId="51" applyFont="1" applyBorder="1" applyAlignment="1">
      <alignment horizontal="left" vertical="center"/>
      <protection/>
    </xf>
    <xf numFmtId="0" fontId="107" fillId="0" borderId="88" xfId="51" applyFont="1" applyBorder="1" applyAlignment="1">
      <alignment horizontal="left" vertical="center"/>
      <protection/>
    </xf>
    <xf numFmtId="0" fontId="108" fillId="0" borderId="89" xfId="51" applyFont="1" applyBorder="1" applyAlignment="1">
      <alignment horizontal="left" vertical="center"/>
      <protection/>
    </xf>
    <xf numFmtId="0" fontId="108" fillId="0" borderId="90" xfId="51" applyFont="1" applyBorder="1" applyAlignment="1">
      <alignment horizontal="left" vertical="center"/>
      <protection/>
    </xf>
    <xf numFmtId="0" fontId="108" fillId="0" borderId="91" xfId="51" applyFont="1" applyBorder="1" applyAlignment="1">
      <alignment horizontal="left" vertical="center"/>
      <protection/>
    </xf>
    <xf numFmtId="0" fontId="107" fillId="0" borderId="77" xfId="51" applyFont="1" applyBorder="1" applyAlignment="1">
      <alignment horizontal="left" vertical="center"/>
      <protection/>
    </xf>
    <xf numFmtId="0" fontId="107" fillId="0" borderId="78" xfId="51" applyFont="1" applyBorder="1" applyAlignment="1">
      <alignment horizontal="left" vertical="center"/>
      <protection/>
    </xf>
    <xf numFmtId="0" fontId="108" fillId="44" borderId="83" xfId="51" applyFont="1" applyFill="1" applyBorder="1" applyAlignment="1">
      <alignment vertical="center" wrapText="1"/>
      <protection/>
    </xf>
    <xf numFmtId="0" fontId="108" fillId="44" borderId="84" xfId="51" applyFont="1" applyFill="1" applyBorder="1" applyAlignment="1">
      <alignment vertical="center" wrapText="1"/>
      <protection/>
    </xf>
    <xf numFmtId="0" fontId="108" fillId="44" borderId="85" xfId="51" applyFont="1" applyFill="1" applyBorder="1" applyAlignment="1">
      <alignment vertical="center" wrapText="1"/>
      <protection/>
    </xf>
    <xf numFmtId="0" fontId="30" fillId="0" borderId="77" xfId="51" applyFont="1" applyBorder="1" applyAlignment="1">
      <alignment horizontal="left" vertical="center" wrapText="1"/>
      <protection/>
    </xf>
    <xf numFmtId="0" fontId="108" fillId="0" borderId="77" xfId="51" applyFont="1" applyBorder="1" applyAlignment="1">
      <alignment horizontal="left" vertical="center"/>
      <protection/>
    </xf>
    <xf numFmtId="0" fontId="108" fillId="0" borderId="0" xfId="51" applyFont="1" applyBorder="1" applyAlignment="1">
      <alignment horizontal="left" vertical="center"/>
      <protection/>
    </xf>
    <xf numFmtId="0" fontId="108" fillId="0" borderId="78" xfId="51" applyFont="1" applyBorder="1" applyAlignment="1">
      <alignment horizontal="left" vertical="center"/>
      <protection/>
    </xf>
    <xf numFmtId="0" fontId="107" fillId="0" borderId="92" xfId="51" applyFont="1" applyBorder="1" applyAlignment="1">
      <alignment vertical="center" wrapText="1"/>
      <protection/>
    </xf>
    <xf numFmtId="0" fontId="107" fillId="0" borderId="93" xfId="51" applyFont="1" applyBorder="1" applyAlignment="1">
      <alignment vertical="center" wrapText="1"/>
      <protection/>
    </xf>
    <xf numFmtId="0" fontId="107" fillId="0" borderId="94" xfId="51" applyFont="1" applyBorder="1" applyAlignment="1">
      <alignment vertical="center" wrapText="1"/>
      <protection/>
    </xf>
    <xf numFmtId="14" fontId="45" fillId="0" borderId="0" xfId="0" applyNumberFormat="1" applyFont="1" applyFill="1" applyAlignment="1">
      <alignment horizontal="right" vertical="top"/>
    </xf>
    <xf numFmtId="0" fontId="0" fillId="0" borderId="0" xfId="0" applyFont="1" applyFill="1" applyBorder="1" applyAlignment="1">
      <alignment vertical="top"/>
    </xf>
    <xf numFmtId="0" fontId="33" fillId="41" borderId="29" xfId="0" applyFont="1" applyFill="1" applyBorder="1" applyAlignment="1" applyProtection="1">
      <alignment horizontal="left" vertical="center"/>
      <protection/>
    </xf>
    <xf numFmtId="0" fontId="33" fillId="41" borderId="60" xfId="0" applyFont="1" applyFill="1" applyBorder="1" applyAlignment="1" applyProtection="1">
      <alignment horizontal="left" vertical="center"/>
      <protection/>
    </xf>
    <xf numFmtId="0" fontId="33" fillId="41" borderId="62" xfId="0" applyFont="1" applyFill="1" applyBorder="1" applyAlignment="1" applyProtection="1">
      <alignment horizontal="left" vertical="center"/>
      <protection/>
    </xf>
    <xf numFmtId="176" fontId="7" fillId="0" borderId="29" xfId="0" applyNumberFormat="1" applyFont="1" applyFill="1" applyBorder="1" applyAlignment="1" applyProtection="1">
      <alignment horizontal="center" vertical="center"/>
      <protection locked="0"/>
    </xf>
    <xf numFmtId="176" fontId="7" fillId="0" borderId="60" xfId="0" applyNumberFormat="1" applyFont="1" applyFill="1" applyBorder="1" applyAlignment="1" applyProtection="1">
      <alignment horizontal="center" vertical="center"/>
      <protection locked="0"/>
    </xf>
    <xf numFmtId="176" fontId="7" fillId="0" borderId="62" xfId="0" applyNumberFormat="1" applyFont="1" applyFill="1" applyBorder="1" applyAlignment="1" applyProtection="1">
      <alignment horizontal="center" vertical="center"/>
      <protection locked="0"/>
    </xf>
    <xf numFmtId="185" fontId="7" fillId="0" borderId="29" xfId="0" applyNumberFormat="1" applyFont="1" applyFill="1" applyBorder="1" applyAlignment="1" applyProtection="1">
      <alignment horizontal="center" vertical="center"/>
      <protection locked="0"/>
    </xf>
    <xf numFmtId="185" fontId="7" fillId="0" borderId="60" xfId="0" applyNumberFormat="1" applyFont="1" applyFill="1" applyBorder="1" applyAlignment="1" applyProtection="1">
      <alignment horizontal="center" vertical="center"/>
      <protection locked="0"/>
    </xf>
    <xf numFmtId="185" fontId="7" fillId="0" borderId="62" xfId="0" applyNumberFormat="1" applyFont="1" applyFill="1" applyBorder="1" applyAlignment="1" applyProtection="1">
      <alignment horizontal="center" vertical="center"/>
      <protection locked="0"/>
    </xf>
    <xf numFmtId="0" fontId="14" fillId="43" borderId="95" xfId="0" applyFont="1" applyFill="1" applyBorder="1" applyAlignment="1" applyProtection="1">
      <alignment horizontal="center" vertical="center" textRotation="90"/>
      <protection hidden="1"/>
    </xf>
    <xf numFmtId="0" fontId="14" fillId="43" borderId="96" xfId="0" applyFont="1" applyFill="1" applyBorder="1" applyAlignment="1" applyProtection="1">
      <alignment horizontal="center" vertical="center" textRotation="90"/>
      <protection hidden="1"/>
    </xf>
    <xf numFmtId="0" fontId="14" fillId="43" borderId="97" xfId="0" applyFont="1" applyFill="1" applyBorder="1" applyAlignment="1" applyProtection="1">
      <alignment horizontal="center" vertical="center" textRotation="90"/>
      <protection hidden="1"/>
    </xf>
    <xf numFmtId="176" fontId="7" fillId="33" borderId="29" xfId="0" applyNumberFormat="1" applyFont="1" applyFill="1" applyBorder="1" applyAlignment="1" applyProtection="1">
      <alignment horizontal="center" vertical="center"/>
      <protection locked="0"/>
    </xf>
    <xf numFmtId="176" fontId="7" fillId="33" borderId="60" xfId="0" applyNumberFormat="1" applyFont="1" applyFill="1" applyBorder="1" applyAlignment="1" applyProtection="1">
      <alignment horizontal="center" vertical="center"/>
      <protection locked="0"/>
    </xf>
    <xf numFmtId="176" fontId="7" fillId="33" borderId="62" xfId="0" applyNumberFormat="1" applyFont="1" applyFill="1" applyBorder="1" applyAlignment="1" applyProtection="1">
      <alignment horizontal="center" vertical="center"/>
      <protection locked="0"/>
    </xf>
    <xf numFmtId="0" fontId="14" fillId="43" borderId="95" xfId="0" applyFont="1" applyFill="1" applyBorder="1" applyAlignment="1" applyProtection="1">
      <alignment horizontal="center" vertical="center" textRotation="90"/>
      <protection/>
    </xf>
    <xf numFmtId="0" fontId="14" fillId="43" borderId="96" xfId="0" applyFont="1" applyFill="1" applyBorder="1" applyAlignment="1" applyProtection="1">
      <alignment horizontal="center" vertical="center" textRotation="90"/>
      <protection/>
    </xf>
    <xf numFmtId="0" fontId="14" fillId="43" borderId="97" xfId="0" applyFont="1" applyFill="1" applyBorder="1" applyAlignment="1" applyProtection="1">
      <alignment horizontal="center" vertical="center" textRotation="90"/>
      <protection/>
    </xf>
    <xf numFmtId="0" fontId="7" fillId="40" borderId="14" xfId="0" applyFont="1" applyFill="1" applyBorder="1" applyAlignment="1">
      <alignment horizontal="center"/>
    </xf>
    <xf numFmtId="0" fontId="7" fillId="0" borderId="14" xfId="0" applyFont="1" applyBorder="1" applyAlignment="1" applyProtection="1">
      <alignment horizontal="center"/>
      <protection locked="0"/>
    </xf>
    <xf numFmtId="0" fontId="9" fillId="36" borderId="29" xfId="0" applyFont="1" applyFill="1" applyBorder="1" applyAlignment="1" applyProtection="1">
      <alignment horizontal="left" vertical="center"/>
      <protection hidden="1"/>
    </xf>
    <xf numFmtId="0" fontId="9" fillId="36" borderId="60" xfId="0" applyFont="1" applyFill="1" applyBorder="1" applyAlignment="1" applyProtection="1">
      <alignment horizontal="left" vertical="center"/>
      <protection hidden="1"/>
    </xf>
    <xf numFmtId="0" fontId="9" fillId="36" borderId="62" xfId="0" applyFont="1" applyFill="1" applyBorder="1" applyAlignment="1" applyProtection="1">
      <alignment horizontal="left" vertical="center"/>
      <protection hidden="1"/>
    </xf>
    <xf numFmtId="0" fontId="0" fillId="0" borderId="98"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center"/>
      <protection locked="0"/>
    </xf>
    <xf numFmtId="0" fontId="9" fillId="0" borderId="60"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7" fillId="40" borderId="14" xfId="0"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hidden="1"/>
    </xf>
    <xf numFmtId="176" fontId="7" fillId="0" borderId="29" xfId="0" applyNumberFormat="1" applyFont="1" applyFill="1" applyBorder="1" applyAlignment="1" applyProtection="1">
      <alignment horizontal="center" vertical="center"/>
      <protection locked="0"/>
    </xf>
    <xf numFmtId="176" fontId="7" fillId="0" borderId="60" xfId="0" applyNumberFormat="1" applyFont="1" applyFill="1" applyBorder="1" applyAlignment="1" applyProtection="1">
      <alignment horizontal="center" vertical="center"/>
      <protection locked="0"/>
    </xf>
    <xf numFmtId="176" fontId="7" fillId="0" borderId="62" xfId="0" applyNumberFormat="1" applyFont="1" applyFill="1" applyBorder="1" applyAlignment="1" applyProtection="1">
      <alignment horizontal="center" vertical="center"/>
      <protection locked="0"/>
    </xf>
    <xf numFmtId="192" fontId="7" fillId="36" borderId="29" xfId="0" applyNumberFormat="1" applyFont="1" applyFill="1" applyBorder="1" applyAlignment="1" applyProtection="1">
      <alignment horizontal="center" vertical="center"/>
      <protection hidden="1"/>
    </xf>
    <xf numFmtId="192" fontId="7" fillId="36" borderId="60" xfId="0" applyNumberFormat="1" applyFont="1" applyFill="1" applyBorder="1" applyAlignment="1" applyProtection="1">
      <alignment horizontal="center" vertical="center"/>
      <protection hidden="1"/>
    </xf>
    <xf numFmtId="192" fontId="7" fillId="36" borderId="62" xfId="0" applyNumberFormat="1" applyFont="1" applyFill="1" applyBorder="1" applyAlignment="1" applyProtection="1">
      <alignment horizontal="center" vertical="center"/>
      <protection hidden="1"/>
    </xf>
    <xf numFmtId="0" fontId="9" fillId="0" borderId="29" xfId="0" applyFont="1" applyFill="1" applyBorder="1" applyAlignment="1" applyProtection="1">
      <alignment horizontal="left" vertical="center"/>
      <protection locked="0"/>
    </xf>
    <xf numFmtId="0" fontId="9" fillId="0" borderId="60"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0" fillId="0" borderId="11" xfId="0" applyFont="1" applyBorder="1" applyAlignment="1">
      <alignment horizontal="left" vertical="top" wrapText="1"/>
    </xf>
    <xf numFmtId="0" fontId="9" fillId="36" borderId="14"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33" fillId="41" borderId="100" xfId="0" applyFont="1" applyFill="1" applyBorder="1" applyAlignment="1" applyProtection="1">
      <alignment horizontal="center" vertical="center" wrapText="1"/>
      <protection/>
    </xf>
    <xf numFmtId="0" fontId="33" fillId="41" borderId="101" xfId="0" applyFont="1" applyFill="1" applyBorder="1" applyAlignment="1" applyProtection="1">
      <alignment horizontal="center" vertical="center" wrapText="1"/>
      <protection/>
    </xf>
    <xf numFmtId="0" fontId="33" fillId="41" borderId="102" xfId="0" applyFont="1" applyFill="1" applyBorder="1" applyAlignment="1" applyProtection="1">
      <alignment horizontal="center" vertical="center" wrapText="1"/>
      <protection/>
    </xf>
    <xf numFmtId="0" fontId="7" fillId="43" borderId="14" xfId="0" applyFont="1" applyFill="1" applyBorder="1" applyAlignment="1" applyProtection="1">
      <alignment horizontal="center" vertical="center"/>
      <protection hidden="1"/>
    </xf>
    <xf numFmtId="0" fontId="0" fillId="33" borderId="0" xfId="0" applyFill="1" applyBorder="1" applyAlignment="1" applyProtection="1">
      <alignment horizontal="center"/>
      <protection hidden="1"/>
    </xf>
    <xf numFmtId="0" fontId="7" fillId="40" borderId="29" xfId="0" applyFont="1" applyFill="1" applyBorder="1" applyAlignment="1" applyProtection="1">
      <alignment horizontal="left" vertical="center"/>
      <protection hidden="1"/>
    </xf>
    <xf numFmtId="0" fontId="7" fillId="40" borderId="60" xfId="0" applyFont="1" applyFill="1" applyBorder="1" applyAlignment="1" applyProtection="1">
      <alignment horizontal="left" vertical="center"/>
      <protection hidden="1"/>
    </xf>
    <xf numFmtId="0" fontId="7" fillId="40" borderId="62" xfId="0" applyFont="1" applyFill="1" applyBorder="1" applyAlignment="1" applyProtection="1">
      <alignment horizontal="left" vertical="center"/>
      <protection hidden="1"/>
    </xf>
    <xf numFmtId="0" fontId="9" fillId="0" borderId="14" xfId="0" applyNumberFormat="1" applyFont="1" applyFill="1" applyBorder="1" applyAlignment="1" applyProtection="1">
      <alignment horizontal="center" vertical="center"/>
      <protection locked="0"/>
    </xf>
    <xf numFmtId="0" fontId="9" fillId="36" borderId="14" xfId="0" applyFont="1" applyFill="1" applyBorder="1" applyAlignment="1" applyProtection="1">
      <alignment horizontal="center" vertical="center"/>
      <protection hidden="1"/>
    </xf>
    <xf numFmtId="0" fontId="9" fillId="36" borderId="29" xfId="0" applyFont="1" applyFill="1" applyBorder="1" applyAlignment="1" applyProtection="1">
      <alignment horizontal="right" vertical="center"/>
      <protection hidden="1"/>
    </xf>
    <xf numFmtId="0" fontId="9" fillId="36" borderId="60" xfId="0" applyFont="1" applyFill="1" applyBorder="1" applyAlignment="1" applyProtection="1">
      <alignment horizontal="right" vertical="center"/>
      <protection hidden="1"/>
    </xf>
    <xf numFmtId="0" fontId="9" fillId="36" borderId="62" xfId="0" applyFont="1" applyFill="1" applyBorder="1" applyAlignment="1" applyProtection="1">
      <alignment horizontal="right" vertical="center"/>
      <protection hidden="1"/>
    </xf>
    <xf numFmtId="0" fontId="9" fillId="36" borderId="29" xfId="0" applyFont="1" applyFill="1" applyBorder="1" applyAlignment="1" applyProtection="1">
      <alignment horizontal="center" vertical="center"/>
      <protection hidden="1"/>
    </xf>
    <xf numFmtId="0" fontId="9" fillId="36" borderId="60" xfId="0" applyFont="1" applyFill="1" applyBorder="1" applyAlignment="1" applyProtection="1">
      <alignment horizontal="center" vertical="center"/>
      <protection hidden="1"/>
    </xf>
    <xf numFmtId="0" fontId="9" fillId="36" borderId="62" xfId="0" applyFont="1" applyFill="1" applyBorder="1" applyAlignment="1" applyProtection="1">
      <alignment horizontal="center" vertical="center"/>
      <protection hidden="1"/>
    </xf>
    <xf numFmtId="176" fontId="7" fillId="36" borderId="29" xfId="0" applyNumberFormat="1" applyFont="1" applyFill="1" applyBorder="1" applyAlignment="1" applyProtection="1">
      <alignment horizontal="center" vertical="center"/>
      <protection hidden="1"/>
    </xf>
    <xf numFmtId="176" fontId="7" fillId="36" borderId="60" xfId="0" applyNumberFormat="1" applyFont="1" applyFill="1" applyBorder="1" applyAlignment="1" applyProtection="1">
      <alignment horizontal="center" vertical="center"/>
      <protection hidden="1"/>
    </xf>
    <xf numFmtId="176" fontId="7" fillId="36" borderId="62" xfId="0" applyNumberFormat="1" applyFont="1" applyFill="1" applyBorder="1" applyAlignment="1" applyProtection="1">
      <alignment horizontal="center" vertical="center"/>
      <protection hidden="1"/>
    </xf>
    <xf numFmtId="0" fontId="7" fillId="40" borderId="29" xfId="0" applyFont="1" applyFill="1" applyBorder="1" applyAlignment="1" applyProtection="1">
      <alignment horizontal="center" vertical="center"/>
      <protection hidden="1"/>
    </xf>
    <xf numFmtId="0" fontId="7" fillId="40" borderId="60" xfId="0" applyFont="1" applyFill="1" applyBorder="1" applyAlignment="1" applyProtection="1">
      <alignment horizontal="center" vertical="center"/>
      <protection hidden="1"/>
    </xf>
    <xf numFmtId="0" fontId="7" fillId="40" borderId="62" xfId="0" applyFont="1" applyFill="1" applyBorder="1" applyAlignment="1" applyProtection="1">
      <alignment horizontal="center" vertical="center"/>
      <protection hidden="1"/>
    </xf>
    <xf numFmtId="0" fontId="29" fillId="43" borderId="14" xfId="0" applyFont="1" applyFill="1" applyBorder="1" applyAlignment="1" applyProtection="1">
      <alignment horizontal="center" vertical="center"/>
      <protection hidden="1"/>
    </xf>
    <xf numFmtId="176" fontId="7" fillId="36" borderId="14" xfId="0" applyNumberFormat="1" applyFont="1" applyFill="1" applyBorder="1" applyAlignment="1" applyProtection="1">
      <alignment horizontal="center" vertical="center"/>
      <protection hidden="1"/>
    </xf>
    <xf numFmtId="176" fontId="7" fillId="33" borderId="14" xfId="0" applyNumberFormat="1" applyFont="1" applyFill="1" applyBorder="1" applyAlignment="1" applyProtection="1">
      <alignment horizontal="center" vertical="center"/>
      <protection locked="0"/>
    </xf>
    <xf numFmtId="176" fontId="7" fillId="0" borderId="14" xfId="0" applyNumberFormat="1" applyFont="1" applyFill="1" applyBorder="1" applyAlignment="1" applyProtection="1">
      <alignment horizontal="center" vertical="center"/>
      <protection locked="0"/>
    </xf>
    <xf numFmtId="185" fontId="7" fillId="0" borderId="14" xfId="0" applyNumberFormat="1" applyFont="1" applyFill="1" applyBorder="1" applyAlignment="1" applyProtection="1">
      <alignment horizontal="center" vertical="center"/>
      <protection locked="0"/>
    </xf>
    <xf numFmtId="3" fontId="7" fillId="33" borderId="29" xfId="0" applyNumberFormat="1" applyFont="1" applyFill="1" applyBorder="1" applyAlignment="1" applyProtection="1">
      <alignment horizontal="center"/>
      <protection locked="0"/>
    </xf>
    <xf numFmtId="3" fontId="7" fillId="33" borderId="60" xfId="0" applyNumberFormat="1" applyFont="1" applyFill="1" applyBorder="1" applyAlignment="1" applyProtection="1">
      <alignment horizontal="center"/>
      <protection locked="0"/>
    </xf>
    <xf numFmtId="3" fontId="7" fillId="33" borderId="62" xfId="0" applyNumberFormat="1" applyFont="1" applyFill="1" applyBorder="1" applyAlignment="1" applyProtection="1">
      <alignment horizontal="center"/>
      <protection locked="0"/>
    </xf>
    <xf numFmtId="0" fontId="7" fillId="36" borderId="29" xfId="0" applyFont="1" applyFill="1" applyBorder="1" applyAlignment="1" applyProtection="1">
      <alignment horizontal="left" vertical="center"/>
      <protection hidden="1"/>
    </xf>
    <xf numFmtId="0" fontId="7" fillId="36" borderId="60" xfId="0" applyFont="1" applyFill="1" applyBorder="1" applyAlignment="1" applyProtection="1">
      <alignment horizontal="left" vertical="center"/>
      <protection hidden="1"/>
    </xf>
    <xf numFmtId="0" fontId="7" fillId="36" borderId="62" xfId="0" applyFont="1" applyFill="1" applyBorder="1" applyAlignment="1" applyProtection="1">
      <alignment horizontal="left" vertical="center"/>
      <protection hidden="1"/>
    </xf>
    <xf numFmtId="185" fontId="7" fillId="36" borderId="29" xfId="0" applyNumberFormat="1" applyFont="1" applyFill="1" applyBorder="1" applyAlignment="1" applyProtection="1">
      <alignment horizontal="right" vertical="center"/>
      <protection hidden="1"/>
    </xf>
    <xf numFmtId="185" fontId="7" fillId="36" borderId="60" xfId="0" applyNumberFormat="1" applyFont="1" applyFill="1" applyBorder="1" applyAlignment="1" applyProtection="1">
      <alignment horizontal="right" vertical="center"/>
      <protection hidden="1"/>
    </xf>
    <xf numFmtId="185" fontId="7" fillId="36" borderId="62" xfId="0" applyNumberFormat="1" applyFont="1" applyFill="1" applyBorder="1" applyAlignment="1" applyProtection="1">
      <alignment horizontal="right" vertical="center"/>
      <protection hidden="1"/>
    </xf>
    <xf numFmtId="0" fontId="7" fillId="33" borderId="29" xfId="0" applyFont="1" applyFill="1" applyBorder="1" applyAlignment="1" applyProtection="1">
      <alignment horizontal="left" vertical="center"/>
      <protection locked="0"/>
    </xf>
    <xf numFmtId="0" fontId="7" fillId="33" borderId="60" xfId="0" applyFont="1" applyFill="1" applyBorder="1" applyAlignment="1" applyProtection="1">
      <alignment horizontal="left" vertical="center"/>
      <protection locked="0"/>
    </xf>
    <xf numFmtId="0" fontId="7" fillId="33" borderId="62" xfId="0" applyFont="1" applyFill="1" applyBorder="1" applyAlignment="1" applyProtection="1">
      <alignment horizontal="left" vertical="center"/>
      <protection locked="0"/>
    </xf>
    <xf numFmtId="0" fontId="7" fillId="35" borderId="29" xfId="0" applyFont="1" applyFill="1" applyBorder="1" applyAlignment="1" applyProtection="1">
      <alignment horizontal="center" vertical="center"/>
      <protection/>
    </xf>
    <xf numFmtId="0" fontId="7" fillId="35" borderId="60" xfId="0" applyFont="1" applyFill="1" applyBorder="1" applyAlignment="1" applyProtection="1">
      <alignment horizontal="center" vertical="center"/>
      <protection/>
    </xf>
    <xf numFmtId="0" fontId="7" fillId="35" borderId="62" xfId="0" applyFont="1" applyFill="1" applyBorder="1" applyAlignment="1" applyProtection="1">
      <alignment horizontal="center" vertical="center"/>
      <protection/>
    </xf>
    <xf numFmtId="0" fontId="7" fillId="0" borderId="29" xfId="0" applyFont="1" applyFill="1" applyBorder="1" applyAlignment="1" applyProtection="1">
      <alignment horizontal="center"/>
      <protection/>
    </xf>
    <xf numFmtId="0" fontId="7" fillId="0" borderId="60" xfId="0" applyFont="1" applyFill="1" applyBorder="1" applyAlignment="1" applyProtection="1">
      <alignment horizontal="center"/>
      <protection/>
    </xf>
    <xf numFmtId="0" fontId="7" fillId="0" borderId="62" xfId="0" applyFont="1" applyFill="1" applyBorder="1" applyAlignment="1" applyProtection="1">
      <alignment horizontal="center"/>
      <protection/>
    </xf>
    <xf numFmtId="0" fontId="7" fillId="35" borderId="29" xfId="0" applyFont="1" applyFill="1" applyBorder="1" applyAlignment="1" applyProtection="1">
      <alignment horizontal="center" vertical="center"/>
      <protection hidden="1"/>
    </xf>
    <xf numFmtId="0" fontId="7" fillId="35" borderId="60" xfId="0" applyFont="1" applyFill="1" applyBorder="1" applyAlignment="1" applyProtection="1">
      <alignment horizontal="center" vertical="center"/>
      <protection hidden="1"/>
    </xf>
    <xf numFmtId="0" fontId="7" fillId="35" borderId="62"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locked="0"/>
    </xf>
    <xf numFmtId="0" fontId="7" fillId="33" borderId="60"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0" fillId="0" borderId="60" xfId="0" applyBorder="1" applyAlignment="1" applyProtection="1">
      <alignment/>
      <protection hidden="1"/>
    </xf>
    <xf numFmtId="0" fontId="0" fillId="0" borderId="62" xfId="0" applyBorder="1" applyAlignment="1" applyProtection="1">
      <alignment/>
      <protection hidden="1"/>
    </xf>
    <xf numFmtId="0" fontId="0" fillId="0" borderId="0" xfId="0" applyAlignment="1">
      <alignment horizontal="left"/>
    </xf>
    <xf numFmtId="182" fontId="7" fillId="33" borderId="29" xfId="0" applyNumberFormat="1" applyFont="1" applyFill="1" applyBorder="1" applyAlignment="1" applyProtection="1">
      <alignment horizontal="center" vertical="center"/>
      <protection/>
    </xf>
    <xf numFmtId="182" fontId="7" fillId="33" borderId="60" xfId="0" applyNumberFormat="1" applyFont="1" applyFill="1" applyBorder="1" applyAlignment="1" applyProtection="1">
      <alignment horizontal="center" vertical="center"/>
      <protection/>
    </xf>
    <xf numFmtId="182" fontId="7" fillId="33" borderId="62" xfId="0" applyNumberFormat="1" applyFont="1" applyFill="1" applyBorder="1" applyAlignment="1" applyProtection="1">
      <alignment horizontal="center" vertical="center"/>
      <protection/>
    </xf>
    <xf numFmtId="10" fontId="7" fillId="36" borderId="29" xfId="0" applyNumberFormat="1" applyFont="1" applyFill="1" applyBorder="1" applyAlignment="1" applyProtection="1">
      <alignment horizontal="center" vertical="center"/>
      <protection hidden="1"/>
    </xf>
    <xf numFmtId="10" fontId="7" fillId="36" borderId="62" xfId="0" applyNumberFormat="1"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xf>
    <xf numFmtId="0" fontId="29" fillId="37" borderId="60" xfId="0" applyFont="1" applyFill="1" applyBorder="1" applyAlignment="1" applyProtection="1">
      <alignment horizontal="left" vertical="center"/>
      <protection/>
    </xf>
    <xf numFmtId="0" fontId="29" fillId="37" borderId="62" xfId="0" applyFont="1" applyFill="1" applyBorder="1" applyAlignment="1" applyProtection="1">
      <alignment horizontal="left" vertical="center"/>
      <protection/>
    </xf>
    <xf numFmtId="0" fontId="7" fillId="0" borderId="60"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185" fontId="7" fillId="36" borderId="29" xfId="0" applyNumberFormat="1" applyFont="1" applyFill="1" applyBorder="1" applyAlignment="1" applyProtection="1">
      <alignment horizontal="right"/>
      <protection hidden="1"/>
    </xf>
    <xf numFmtId="185" fontId="7" fillId="36" borderId="60" xfId="0" applyNumberFormat="1" applyFont="1" applyFill="1" applyBorder="1" applyAlignment="1" applyProtection="1">
      <alignment horizontal="right"/>
      <protection hidden="1"/>
    </xf>
    <xf numFmtId="185" fontId="7" fillId="36" borderId="62" xfId="0" applyNumberFormat="1" applyFont="1" applyFill="1" applyBorder="1" applyAlignment="1" applyProtection="1">
      <alignment horizontal="right"/>
      <protection hidden="1"/>
    </xf>
    <xf numFmtId="0" fontId="7" fillId="0" borderId="29" xfId="0" applyFont="1" applyFill="1" applyBorder="1" applyAlignment="1" applyProtection="1">
      <alignment horizontal="center" vertical="center"/>
      <protection/>
    </xf>
    <xf numFmtId="0" fontId="7" fillId="0" borderId="60" xfId="0" applyFont="1" applyFill="1" applyBorder="1" applyAlignment="1" applyProtection="1">
      <alignment horizontal="center" vertical="center"/>
      <protection/>
    </xf>
    <xf numFmtId="0" fontId="7" fillId="0" borderId="62" xfId="0" applyFont="1" applyFill="1" applyBorder="1" applyAlignment="1" applyProtection="1">
      <alignment horizontal="center" vertical="center"/>
      <protection/>
    </xf>
    <xf numFmtId="0" fontId="0" fillId="0" borderId="60" xfId="0" applyBorder="1" applyAlignment="1">
      <alignment/>
    </xf>
    <xf numFmtId="0" fontId="0" fillId="0" borderId="103" xfId="0" applyBorder="1" applyAlignment="1">
      <alignment/>
    </xf>
    <xf numFmtId="0" fontId="2" fillId="33" borderId="98" xfId="0" applyFont="1" applyFill="1" applyBorder="1" applyAlignment="1" applyProtection="1">
      <alignment horizontal="left" vertical="center"/>
      <protection locked="0"/>
    </xf>
    <xf numFmtId="0" fontId="2" fillId="33" borderId="99" xfId="0" applyFont="1" applyFill="1" applyBorder="1" applyAlignment="1" applyProtection="1">
      <alignment horizontal="left" vertical="center"/>
      <protection locked="0"/>
    </xf>
    <xf numFmtId="0" fontId="0" fillId="0" borderId="2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3" fontId="7" fillId="36" borderId="29" xfId="0" applyNumberFormat="1" applyFont="1" applyFill="1" applyBorder="1" applyAlignment="1" applyProtection="1">
      <alignment horizontal="center" vertical="center"/>
      <protection hidden="1"/>
    </xf>
    <xf numFmtId="3" fontId="7" fillId="36" borderId="60" xfId="0" applyNumberFormat="1" applyFont="1" applyFill="1" applyBorder="1" applyAlignment="1" applyProtection="1">
      <alignment horizontal="center" vertical="center"/>
      <protection hidden="1"/>
    </xf>
    <xf numFmtId="3" fontId="7" fillId="36" borderId="62" xfId="0" applyNumberFormat="1" applyFont="1" applyFill="1" applyBorder="1" applyAlignment="1" applyProtection="1">
      <alignment horizontal="center" vertical="center"/>
      <protection hidden="1"/>
    </xf>
    <xf numFmtId="0" fontId="7" fillId="33" borderId="29" xfId="0" applyFont="1" applyFill="1" applyBorder="1" applyAlignment="1" applyProtection="1">
      <alignment horizontal="left" vertical="center"/>
      <protection locked="0"/>
    </xf>
    <xf numFmtId="0" fontId="7" fillId="33" borderId="60" xfId="0" applyFont="1" applyFill="1" applyBorder="1" applyAlignment="1" applyProtection="1">
      <alignment horizontal="left" vertical="center"/>
      <protection locked="0"/>
    </xf>
    <xf numFmtId="0" fontId="7" fillId="33" borderId="62" xfId="0" applyFont="1" applyFill="1" applyBorder="1" applyAlignment="1" applyProtection="1">
      <alignment horizontal="left" vertical="center"/>
      <protection locked="0"/>
    </xf>
    <xf numFmtId="0" fontId="0" fillId="33" borderId="11" xfId="0" applyFont="1" applyFill="1" applyBorder="1" applyAlignment="1" applyProtection="1">
      <alignment horizontal="left" vertical="center"/>
      <protection hidden="1"/>
    </xf>
    <xf numFmtId="0" fontId="99" fillId="33" borderId="11" xfId="0" applyFont="1" applyFill="1" applyBorder="1" applyAlignment="1" applyProtection="1">
      <alignment horizontal="left" vertical="center"/>
      <protection hidden="1"/>
    </xf>
    <xf numFmtId="0" fontId="7" fillId="35" borderId="29" xfId="0" applyFont="1" applyFill="1" applyBorder="1" applyAlignment="1" applyProtection="1">
      <alignment horizontal="left" vertical="center"/>
      <protection/>
    </xf>
    <xf numFmtId="0" fontId="7" fillId="35" borderId="60" xfId="0" applyFont="1" applyFill="1" applyBorder="1" applyAlignment="1" applyProtection="1">
      <alignment horizontal="left" vertical="center"/>
      <protection/>
    </xf>
    <xf numFmtId="0" fontId="7" fillId="35" borderId="62" xfId="0" applyFont="1" applyFill="1" applyBorder="1" applyAlignment="1" applyProtection="1">
      <alignment horizontal="left" vertical="center"/>
      <protection/>
    </xf>
    <xf numFmtId="14" fontId="7" fillId="0" borderId="29" xfId="0" applyNumberFormat="1" applyFont="1" applyFill="1" applyBorder="1" applyAlignment="1" applyProtection="1">
      <alignment horizontal="center" vertical="center"/>
      <protection locked="0"/>
    </xf>
    <xf numFmtId="14" fontId="7" fillId="0" borderId="60" xfId="0" applyNumberFormat="1" applyFont="1" applyFill="1" applyBorder="1" applyAlignment="1" applyProtection="1">
      <alignment horizontal="center" vertical="center"/>
      <protection locked="0"/>
    </xf>
    <xf numFmtId="14" fontId="7" fillId="0" borderId="62" xfId="0" applyNumberFormat="1" applyFont="1" applyFill="1" applyBorder="1" applyAlignment="1" applyProtection="1">
      <alignment horizontal="center" vertical="center"/>
      <protection locked="0"/>
    </xf>
    <xf numFmtId="9" fontId="7" fillId="43" borderId="14" xfId="0" applyNumberFormat="1"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xf>
    <xf numFmtId="3" fontId="7" fillId="43" borderId="60" xfId="0" applyNumberFormat="1" applyFont="1" applyFill="1" applyBorder="1" applyAlignment="1" applyProtection="1">
      <alignment horizontal="center" vertical="center"/>
      <protection hidden="1"/>
    </xf>
    <xf numFmtId="3" fontId="7" fillId="43" borderId="62" xfId="0" applyNumberFormat="1" applyFont="1" applyFill="1" applyBorder="1" applyAlignment="1" applyProtection="1">
      <alignment horizontal="center" vertical="center"/>
      <protection hidden="1"/>
    </xf>
    <xf numFmtId="0" fontId="7" fillId="0" borderId="29" xfId="0" applyFont="1" applyFill="1" applyBorder="1" applyAlignment="1" applyProtection="1">
      <alignment horizontal="center"/>
      <protection locked="0"/>
    </xf>
    <xf numFmtId="0" fontId="7" fillId="0" borderId="60" xfId="0" applyFont="1" applyFill="1" applyBorder="1" applyAlignment="1" applyProtection="1">
      <alignment horizontal="center"/>
      <protection locked="0"/>
    </xf>
    <xf numFmtId="0" fontId="7" fillId="0" borderId="62" xfId="0" applyFont="1" applyFill="1" applyBorder="1" applyAlignment="1" applyProtection="1">
      <alignment horizontal="center"/>
      <protection locked="0"/>
    </xf>
    <xf numFmtId="0" fontId="2" fillId="33" borderId="29" xfId="0" applyFont="1" applyFill="1" applyBorder="1" applyAlignment="1" applyProtection="1">
      <alignment horizontal="left" vertical="center"/>
      <protection locked="0"/>
    </xf>
    <xf numFmtId="0" fontId="2" fillId="33" borderId="62" xfId="0" applyFont="1" applyFill="1" applyBorder="1" applyAlignment="1" applyProtection="1">
      <alignment horizontal="left" vertical="center"/>
      <protection locked="0"/>
    </xf>
    <xf numFmtId="0" fontId="9" fillId="40" borderId="29" xfId="0" applyFont="1" applyFill="1" applyBorder="1" applyAlignment="1" applyProtection="1">
      <alignment horizontal="center" vertical="center"/>
      <protection hidden="1"/>
    </xf>
    <xf numFmtId="0" fontId="9" fillId="40" borderId="60" xfId="0" applyFont="1" applyFill="1" applyBorder="1" applyAlignment="1" applyProtection="1">
      <alignment horizontal="center" vertical="center"/>
      <protection hidden="1"/>
    </xf>
    <xf numFmtId="0" fontId="9" fillId="40" borderId="62" xfId="0" applyFont="1" applyFill="1" applyBorder="1" applyAlignment="1" applyProtection="1">
      <alignment horizontal="center" vertical="center"/>
      <protection hidden="1"/>
    </xf>
    <xf numFmtId="9" fontId="7" fillId="36" borderId="29" xfId="0" applyNumberFormat="1" applyFont="1" applyFill="1" applyBorder="1" applyAlignment="1" applyProtection="1">
      <alignment horizontal="center" vertical="center"/>
      <protection hidden="1"/>
    </xf>
    <xf numFmtId="9" fontId="7" fillId="36" borderId="60" xfId="0" applyNumberFormat="1" applyFont="1" applyFill="1" applyBorder="1" applyAlignment="1" applyProtection="1">
      <alignment horizontal="center" vertical="center"/>
      <protection hidden="1"/>
    </xf>
    <xf numFmtId="9" fontId="7" fillId="36" borderId="62" xfId="0" applyNumberFormat="1" applyFont="1" applyFill="1" applyBorder="1" applyAlignment="1" applyProtection="1">
      <alignment horizontal="center" vertical="center"/>
      <protection hidden="1"/>
    </xf>
    <xf numFmtId="0" fontId="7" fillId="33" borderId="98"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99"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wrapText="1"/>
      <protection/>
    </xf>
    <xf numFmtId="0" fontId="7" fillId="35" borderId="34" xfId="0" applyFont="1" applyFill="1" applyBorder="1" applyAlignment="1" applyProtection="1">
      <alignment horizontal="left" vertical="center"/>
      <protection/>
    </xf>
    <xf numFmtId="0" fontId="7" fillId="35" borderId="28" xfId="0" applyFont="1" applyFill="1" applyBorder="1" applyAlignment="1" applyProtection="1">
      <alignment horizontal="left" vertical="center"/>
      <protection/>
    </xf>
    <xf numFmtId="0" fontId="7" fillId="35" borderId="35" xfId="0" applyFont="1" applyFill="1" applyBorder="1" applyAlignment="1" applyProtection="1">
      <alignment horizontal="left" vertical="center"/>
      <protection/>
    </xf>
    <xf numFmtId="0" fontId="2" fillId="0" borderId="2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7" fillId="35" borderId="29" xfId="0" applyFont="1" applyFill="1" applyBorder="1" applyAlignment="1" applyProtection="1">
      <alignment horizontal="center" vertical="center"/>
      <protection/>
    </xf>
    <xf numFmtId="0" fontId="7" fillId="35" borderId="60" xfId="0" applyFont="1" applyFill="1" applyBorder="1" applyAlignment="1" applyProtection="1">
      <alignment horizontal="center" vertical="center"/>
      <protection/>
    </xf>
    <xf numFmtId="0" fontId="7" fillId="35" borderId="62" xfId="0" applyFont="1" applyFill="1" applyBorder="1" applyAlignment="1" applyProtection="1">
      <alignment horizontal="center" vertical="center"/>
      <protection/>
    </xf>
    <xf numFmtId="0" fontId="7" fillId="0" borderId="49" xfId="0" applyFont="1" applyFill="1" applyBorder="1" applyAlignment="1" applyProtection="1">
      <alignment horizontal="center"/>
      <protection/>
    </xf>
    <xf numFmtId="0" fontId="7" fillId="0" borderId="30" xfId="0" applyFont="1" applyFill="1" applyBorder="1" applyAlignment="1" applyProtection="1">
      <alignment horizontal="center"/>
      <protection/>
    </xf>
    <xf numFmtId="3" fontId="7" fillId="36" borderId="29" xfId="0" applyNumberFormat="1" applyFont="1" applyFill="1" applyBorder="1" applyAlignment="1" applyProtection="1">
      <alignment horizontal="center" vertical="center"/>
      <protection hidden="1"/>
    </xf>
    <xf numFmtId="3" fontId="7" fillId="36" borderId="62" xfId="0" applyNumberFormat="1" applyFont="1" applyFill="1" applyBorder="1" applyAlignment="1" applyProtection="1">
      <alignment horizontal="center" vertical="center"/>
      <protection hidden="1"/>
    </xf>
    <xf numFmtId="0" fontId="2" fillId="0" borderId="29" xfId="0" applyFont="1" applyFill="1" applyBorder="1" applyAlignment="1" applyProtection="1">
      <alignment horizontal="center"/>
      <protection/>
    </xf>
    <xf numFmtId="0" fontId="2" fillId="0" borderId="60" xfId="0" applyFont="1" applyFill="1" applyBorder="1" applyAlignment="1" applyProtection="1">
      <alignment horizontal="center"/>
      <protection/>
    </xf>
    <xf numFmtId="0" fontId="2" fillId="0" borderId="62" xfId="0" applyFont="1" applyFill="1" applyBorder="1" applyAlignment="1" applyProtection="1">
      <alignment horizontal="center"/>
      <protection/>
    </xf>
    <xf numFmtId="0" fontId="7" fillId="35" borderId="29" xfId="0" applyFont="1" applyFill="1" applyBorder="1" applyAlignment="1" applyProtection="1">
      <alignment horizontal="left" vertical="center"/>
      <protection/>
    </xf>
    <xf numFmtId="0" fontId="7" fillId="35" borderId="60" xfId="0" applyFont="1" applyFill="1" applyBorder="1" applyAlignment="1" applyProtection="1">
      <alignment horizontal="left" vertical="center"/>
      <protection/>
    </xf>
    <xf numFmtId="0" fontId="7" fillId="35" borderId="62" xfId="0" applyFont="1" applyFill="1" applyBorder="1" applyAlignment="1" applyProtection="1">
      <alignment horizontal="left" vertical="center"/>
      <protection/>
    </xf>
    <xf numFmtId="0" fontId="7" fillId="35" borderId="36" xfId="0" applyFont="1" applyFill="1" applyBorder="1" applyAlignment="1" applyProtection="1">
      <alignment horizontal="left" vertical="center"/>
      <protection hidden="1"/>
    </xf>
    <xf numFmtId="0" fontId="7" fillId="35" borderId="0" xfId="0" applyFont="1" applyFill="1" applyBorder="1" applyAlignment="1" applyProtection="1">
      <alignment horizontal="left" vertical="center"/>
      <protection hidden="1"/>
    </xf>
    <xf numFmtId="0" fontId="7" fillId="35" borderId="31" xfId="0" applyFont="1" applyFill="1" applyBorder="1" applyAlignment="1" applyProtection="1">
      <alignment horizontal="left" vertical="center"/>
      <protection hidden="1"/>
    </xf>
    <xf numFmtId="0" fontId="7" fillId="33" borderId="28"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9" fontId="7" fillId="36" borderId="14" xfId="0" applyNumberFormat="1" applyFont="1" applyFill="1" applyBorder="1" applyAlignment="1" applyProtection="1">
      <alignment horizontal="center" vertical="center"/>
      <protection hidden="1"/>
    </xf>
    <xf numFmtId="0" fontId="9" fillId="0" borderId="29" xfId="0" applyFont="1" applyFill="1" applyBorder="1" applyAlignment="1" applyProtection="1">
      <alignment horizontal="right" vertical="center"/>
      <protection/>
    </xf>
    <xf numFmtId="0" fontId="9" fillId="0" borderId="60" xfId="0" applyFont="1" applyFill="1" applyBorder="1" applyAlignment="1" applyProtection="1">
      <alignment horizontal="right" vertical="center"/>
      <protection/>
    </xf>
    <xf numFmtId="185" fontId="7" fillId="45" borderId="29" xfId="0" applyNumberFormat="1" applyFont="1" applyFill="1" applyBorder="1" applyAlignment="1" applyProtection="1">
      <alignment horizontal="right" vertical="center"/>
      <protection hidden="1"/>
    </xf>
    <xf numFmtId="0" fontId="0" fillId="45" borderId="60" xfId="0" applyFill="1" applyBorder="1" applyAlignment="1">
      <alignment/>
    </xf>
    <xf numFmtId="0" fontId="0" fillId="45" borderId="103" xfId="0" applyFill="1" applyBorder="1" applyAlignment="1">
      <alignment/>
    </xf>
    <xf numFmtId="0" fontId="0" fillId="0" borderId="62" xfId="0" applyBorder="1" applyAlignment="1">
      <alignment/>
    </xf>
    <xf numFmtId="176" fontId="7" fillId="36" borderId="29" xfId="0" applyNumberFormat="1" applyFont="1" applyFill="1" applyBorder="1" applyAlignment="1" applyProtection="1">
      <alignment horizontal="center"/>
      <protection hidden="1"/>
    </xf>
    <xf numFmtId="176" fontId="7" fillId="36" borderId="60" xfId="0" applyNumberFormat="1" applyFont="1" applyFill="1" applyBorder="1" applyAlignment="1" applyProtection="1">
      <alignment horizontal="center"/>
      <protection hidden="1"/>
    </xf>
    <xf numFmtId="176" fontId="7" fillId="36" borderId="62" xfId="0" applyNumberFormat="1" applyFont="1" applyFill="1" applyBorder="1" applyAlignment="1" applyProtection="1">
      <alignment horizontal="center"/>
      <protection hidden="1"/>
    </xf>
    <xf numFmtId="0" fontId="29" fillId="37" borderId="36" xfId="0" applyFont="1" applyFill="1" applyBorder="1" applyAlignment="1" applyProtection="1">
      <alignment horizontal="left" vertical="center"/>
      <protection/>
    </xf>
    <xf numFmtId="0" fontId="29" fillId="37" borderId="0" xfId="0" applyFont="1" applyFill="1" applyBorder="1" applyAlignment="1" applyProtection="1">
      <alignment horizontal="left" vertical="center"/>
      <protection/>
    </xf>
    <xf numFmtId="3" fontId="7" fillId="36" borderId="29" xfId="0" applyNumberFormat="1" applyFont="1" applyFill="1" applyBorder="1" applyAlignment="1" applyProtection="1">
      <alignment horizontal="center"/>
      <protection hidden="1"/>
    </xf>
    <xf numFmtId="3" fontId="7" fillId="36" borderId="60" xfId="0" applyNumberFormat="1" applyFont="1" applyFill="1" applyBorder="1" applyAlignment="1" applyProtection="1">
      <alignment horizontal="center"/>
      <protection hidden="1"/>
    </xf>
    <xf numFmtId="3" fontId="7" fillId="36" borderId="62" xfId="0" applyNumberFormat="1" applyFont="1" applyFill="1" applyBorder="1" applyAlignment="1" applyProtection="1">
      <alignment horizontal="center"/>
      <protection hidden="1"/>
    </xf>
    <xf numFmtId="0" fontId="15" fillId="35" borderId="95" xfId="0" applyFont="1" applyFill="1" applyBorder="1" applyAlignment="1" applyProtection="1">
      <alignment vertical="center" textRotation="90"/>
      <protection hidden="1"/>
    </xf>
    <xf numFmtId="0" fontId="15" fillId="35" borderId="96" xfId="0" applyFont="1" applyFill="1" applyBorder="1" applyAlignment="1" applyProtection="1">
      <alignment vertical="center" textRotation="90"/>
      <protection hidden="1"/>
    </xf>
    <xf numFmtId="0" fontId="15" fillId="35" borderId="12" xfId="0" applyFont="1" applyFill="1" applyBorder="1" applyAlignment="1" applyProtection="1">
      <alignment vertical="center" textRotation="90"/>
      <protection hidden="1"/>
    </xf>
    <xf numFmtId="0" fontId="15" fillId="35" borderId="15" xfId="0" applyFont="1" applyFill="1" applyBorder="1" applyAlignment="1" applyProtection="1">
      <alignment vertical="center" textRotation="90"/>
      <protection hidden="1"/>
    </xf>
    <xf numFmtId="0" fontId="0" fillId="33" borderId="11" xfId="0" applyFill="1" applyBorder="1" applyAlignment="1" applyProtection="1">
      <alignment horizontal="center"/>
      <protection hidden="1"/>
    </xf>
    <xf numFmtId="0" fontId="15" fillId="35" borderId="95" xfId="0" applyFont="1" applyFill="1" applyBorder="1" applyAlignment="1" applyProtection="1">
      <alignment horizontal="center" vertical="center" textRotation="90"/>
      <protection/>
    </xf>
    <xf numFmtId="0" fontId="15" fillId="35" borderId="96" xfId="0" applyFont="1" applyFill="1" applyBorder="1" applyAlignment="1" applyProtection="1">
      <alignment horizontal="center" vertical="center" textRotation="90"/>
      <protection/>
    </xf>
    <xf numFmtId="0" fontId="15" fillId="35" borderId="12" xfId="0" applyFont="1" applyFill="1" applyBorder="1" applyAlignment="1" applyProtection="1">
      <alignment horizontal="center" vertical="center" textRotation="90"/>
      <protection/>
    </xf>
    <xf numFmtId="0" fontId="15" fillId="35" borderId="15" xfId="0" applyFont="1" applyFill="1" applyBorder="1" applyAlignment="1" applyProtection="1">
      <alignment horizontal="center" vertical="center" textRotation="90"/>
      <protection/>
    </xf>
    <xf numFmtId="0" fontId="0" fillId="33" borderId="11" xfId="0" applyFill="1" applyBorder="1" applyAlignment="1" applyProtection="1">
      <alignment horizontal="center"/>
      <protection/>
    </xf>
    <xf numFmtId="0" fontId="29" fillId="37" borderId="36" xfId="0" applyFont="1" applyFill="1" applyBorder="1" applyAlignment="1" applyProtection="1">
      <alignment horizontal="left" vertical="center" wrapText="1"/>
      <protection/>
    </xf>
    <xf numFmtId="0" fontId="29" fillId="37" borderId="0" xfId="0" applyFont="1" applyFill="1" applyBorder="1" applyAlignment="1" applyProtection="1">
      <alignment horizontal="left" vertical="center" wrapText="1"/>
      <protection/>
    </xf>
    <xf numFmtId="0" fontId="29" fillId="37" borderId="31" xfId="0" applyFont="1" applyFill="1" applyBorder="1" applyAlignment="1" applyProtection="1">
      <alignment horizontal="left" vertical="center" wrapText="1"/>
      <protection/>
    </xf>
    <xf numFmtId="0" fontId="29" fillId="37" borderId="49" xfId="0" applyFont="1" applyFill="1" applyBorder="1" applyAlignment="1" applyProtection="1">
      <alignment horizontal="left" vertical="center" wrapText="1"/>
      <protection/>
    </xf>
    <xf numFmtId="0" fontId="29" fillId="37" borderId="30" xfId="0" applyFont="1" applyFill="1" applyBorder="1" applyAlignment="1" applyProtection="1">
      <alignment horizontal="left" vertical="center" wrapText="1"/>
      <protection/>
    </xf>
    <xf numFmtId="0" fontId="29" fillId="37" borderId="48" xfId="0" applyFont="1" applyFill="1" applyBorder="1" applyAlignment="1" applyProtection="1">
      <alignment horizontal="left" vertical="center" wrapText="1"/>
      <protection/>
    </xf>
    <xf numFmtId="0" fontId="7" fillId="35" borderId="60" xfId="0" applyFont="1" applyFill="1" applyBorder="1" applyAlignment="1" applyProtection="1">
      <alignment horizontal="center"/>
      <protection hidden="1"/>
    </xf>
    <xf numFmtId="0" fontId="7" fillId="35" borderId="62" xfId="0" applyFont="1" applyFill="1" applyBorder="1" applyAlignment="1" applyProtection="1">
      <alignment horizontal="center"/>
      <protection hidden="1"/>
    </xf>
    <xf numFmtId="0" fontId="29" fillId="37" borderId="36" xfId="0" applyFont="1" applyFill="1" applyBorder="1" applyAlignment="1" applyProtection="1">
      <alignment horizontal="left" vertical="center"/>
      <protection hidden="1"/>
    </xf>
    <xf numFmtId="0" fontId="29" fillId="37" borderId="0" xfId="0" applyFont="1" applyFill="1" applyBorder="1" applyAlignment="1" applyProtection="1">
      <alignment horizontal="left" vertical="center"/>
      <protection hidden="1"/>
    </xf>
    <xf numFmtId="0" fontId="29" fillId="37" borderId="31"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wrapText="1"/>
      <protection/>
    </xf>
    <xf numFmtId="0" fontId="7" fillId="36" borderId="29" xfId="0" applyFont="1" applyFill="1" applyBorder="1" applyAlignment="1" applyProtection="1">
      <alignment horizontal="center" vertical="center"/>
      <protection hidden="1"/>
    </xf>
    <xf numFmtId="0" fontId="7" fillId="36" borderId="60" xfId="0" applyFont="1" applyFill="1" applyBorder="1" applyAlignment="1" applyProtection="1">
      <alignment horizontal="center" vertical="center"/>
      <protection hidden="1"/>
    </xf>
    <xf numFmtId="0" fontId="7" fillId="36" borderId="62" xfId="0" applyFont="1" applyFill="1" applyBorder="1" applyAlignment="1" applyProtection="1">
      <alignment horizontal="center" vertical="center"/>
      <protection hidden="1"/>
    </xf>
    <xf numFmtId="0" fontId="7" fillId="36" borderId="29" xfId="0" applyFont="1" applyFill="1" applyBorder="1" applyAlignment="1" applyProtection="1">
      <alignment horizontal="left" vertical="center"/>
      <protection/>
    </xf>
    <xf numFmtId="0" fontId="7" fillId="36" borderId="60" xfId="0" applyFont="1" applyFill="1" applyBorder="1" applyAlignment="1" applyProtection="1">
      <alignment horizontal="left" vertical="center"/>
      <protection/>
    </xf>
    <xf numFmtId="0" fontId="7" fillId="36" borderId="62"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wrapText="1"/>
      <protection/>
    </xf>
    <xf numFmtId="185" fontId="7" fillId="36" borderId="29" xfId="0" applyNumberFormat="1" applyFont="1" applyFill="1" applyBorder="1" applyAlignment="1" applyProtection="1">
      <alignment horizontal="center"/>
      <protection hidden="1"/>
    </xf>
    <xf numFmtId="185" fontId="7" fillId="36" borderId="60" xfId="0" applyNumberFormat="1" applyFont="1" applyFill="1" applyBorder="1" applyAlignment="1" applyProtection="1">
      <alignment horizontal="center"/>
      <protection hidden="1"/>
    </xf>
    <xf numFmtId="185" fontId="7" fillId="36" borderId="62" xfId="0" applyNumberFormat="1" applyFont="1" applyFill="1" applyBorder="1" applyAlignment="1" applyProtection="1">
      <alignment horizontal="center"/>
      <protection hidden="1"/>
    </xf>
    <xf numFmtId="191" fontId="7" fillId="36" borderId="29" xfId="0" applyNumberFormat="1" applyFont="1" applyFill="1" applyBorder="1" applyAlignment="1" applyProtection="1">
      <alignment horizontal="center" vertical="center"/>
      <protection hidden="1"/>
    </xf>
    <xf numFmtId="191" fontId="7" fillId="36" borderId="60" xfId="0" applyNumberFormat="1" applyFont="1" applyFill="1" applyBorder="1" applyAlignment="1" applyProtection="1">
      <alignment horizontal="center" vertical="center"/>
      <protection hidden="1"/>
    </xf>
    <xf numFmtId="191" fontId="7" fillId="36" borderId="62" xfId="0" applyNumberFormat="1" applyFont="1" applyFill="1" applyBorder="1" applyAlignment="1" applyProtection="1">
      <alignment horizontal="center" vertical="center"/>
      <protection hidden="1"/>
    </xf>
    <xf numFmtId="0" fontId="7" fillId="35" borderId="103" xfId="0" applyFont="1" applyFill="1" applyBorder="1" applyAlignment="1" applyProtection="1">
      <alignment horizontal="center" vertical="center"/>
      <protection hidden="1"/>
    </xf>
    <xf numFmtId="185" fontId="7" fillId="0" borderId="29" xfId="0" applyNumberFormat="1" applyFont="1" applyFill="1" applyBorder="1" applyAlignment="1" applyProtection="1">
      <alignment horizontal="center" vertical="center"/>
      <protection locked="0"/>
    </xf>
    <xf numFmtId="185" fontId="7" fillId="0" borderId="60" xfId="0" applyNumberFormat="1" applyFont="1" applyFill="1" applyBorder="1" applyAlignment="1" applyProtection="1">
      <alignment horizontal="center" vertical="center"/>
      <protection locked="0"/>
    </xf>
    <xf numFmtId="185" fontId="7" fillId="0" borderId="62" xfId="0" applyNumberFormat="1" applyFont="1" applyFill="1" applyBorder="1" applyAlignment="1" applyProtection="1">
      <alignment horizontal="center" vertical="center"/>
      <protection locked="0"/>
    </xf>
    <xf numFmtId="0" fontId="7" fillId="36" borderId="29" xfId="0" applyFont="1" applyFill="1" applyBorder="1" applyAlignment="1" applyProtection="1">
      <alignment horizontal="left"/>
      <protection/>
    </xf>
    <xf numFmtId="0" fontId="7" fillId="36" borderId="60" xfId="0" applyFont="1" applyFill="1" applyBorder="1" applyAlignment="1" applyProtection="1">
      <alignment horizontal="left"/>
      <protection/>
    </xf>
    <xf numFmtId="0" fontId="7" fillId="36" borderId="62" xfId="0" applyFont="1" applyFill="1" applyBorder="1" applyAlignment="1" applyProtection="1">
      <alignment horizontal="left"/>
      <protection/>
    </xf>
    <xf numFmtId="0" fontId="0" fillId="33" borderId="11" xfId="0" applyFont="1" applyFill="1" applyBorder="1" applyAlignment="1" applyProtection="1">
      <alignment horizontal="left" vertical="center"/>
      <protection/>
    </xf>
    <xf numFmtId="182" fontId="7" fillId="33" borderId="29" xfId="0" applyNumberFormat="1" applyFont="1" applyFill="1" applyBorder="1" applyAlignment="1" applyProtection="1">
      <alignment horizontal="center" vertical="center"/>
      <protection locked="0"/>
    </xf>
    <xf numFmtId="182" fontId="7" fillId="33" borderId="60" xfId="0" applyNumberFormat="1" applyFont="1" applyFill="1" applyBorder="1" applyAlignment="1" applyProtection="1">
      <alignment horizontal="center" vertical="center"/>
      <protection locked="0"/>
    </xf>
    <xf numFmtId="182" fontId="7" fillId="33" borderId="62" xfId="0" applyNumberFormat="1" applyFont="1" applyFill="1" applyBorder="1" applyAlignment="1" applyProtection="1">
      <alignment horizontal="center" vertical="center"/>
      <protection locked="0"/>
    </xf>
    <xf numFmtId="185" fontId="7" fillId="0" borderId="14" xfId="0" applyNumberFormat="1" applyFont="1" applyFill="1" applyBorder="1" applyAlignment="1" applyProtection="1">
      <alignment horizontal="right" vertical="center"/>
      <protection locked="0"/>
    </xf>
    <xf numFmtId="0" fontId="9" fillId="43" borderId="29" xfId="0" applyFont="1" applyFill="1" applyBorder="1" applyAlignment="1" applyProtection="1">
      <alignment horizontal="center" vertical="center"/>
      <protection/>
    </xf>
    <xf numFmtId="0" fontId="9" fillId="43" borderId="60" xfId="0" applyFont="1" applyFill="1" applyBorder="1" applyAlignment="1" applyProtection="1">
      <alignment horizontal="center" vertical="center"/>
      <protection/>
    </xf>
    <xf numFmtId="0" fontId="9" fillId="43" borderId="62" xfId="0" applyFont="1" applyFill="1" applyBorder="1" applyAlignment="1" applyProtection="1">
      <alignment horizontal="center" vertical="center"/>
      <protection/>
    </xf>
    <xf numFmtId="185" fontId="7" fillId="36" borderId="49" xfId="0" applyNumberFormat="1" applyFont="1" applyFill="1" applyBorder="1" applyAlignment="1" applyProtection="1">
      <alignment horizontal="right" vertical="center"/>
      <protection hidden="1"/>
    </xf>
    <xf numFmtId="185" fontId="7" fillId="36" borderId="30" xfId="0" applyNumberFormat="1" applyFont="1" applyFill="1" applyBorder="1" applyAlignment="1" applyProtection="1">
      <alignment horizontal="right" vertical="center"/>
      <protection hidden="1"/>
    </xf>
    <xf numFmtId="185" fontId="7" fillId="36" borderId="48" xfId="0" applyNumberFormat="1" applyFont="1" applyFill="1" applyBorder="1" applyAlignment="1" applyProtection="1">
      <alignment horizontal="right" vertical="center"/>
      <protection hidden="1"/>
    </xf>
    <xf numFmtId="185" fontId="7" fillId="36" borderId="49" xfId="0" applyNumberFormat="1" applyFont="1" applyFill="1" applyBorder="1" applyAlignment="1" applyProtection="1">
      <alignment horizontal="right"/>
      <protection hidden="1"/>
    </xf>
    <xf numFmtId="185" fontId="7" fillId="36" borderId="30" xfId="0" applyNumberFormat="1" applyFont="1" applyFill="1" applyBorder="1" applyAlignment="1" applyProtection="1">
      <alignment horizontal="right"/>
      <protection hidden="1"/>
    </xf>
    <xf numFmtId="185" fontId="7" fillId="36" borderId="48" xfId="0" applyNumberFormat="1" applyFont="1" applyFill="1" applyBorder="1" applyAlignment="1" applyProtection="1">
      <alignment horizontal="right"/>
      <protection hidden="1"/>
    </xf>
    <xf numFmtId="0" fontId="9" fillId="43" borderId="29" xfId="0" applyFont="1" applyFill="1" applyBorder="1" applyAlignment="1" applyProtection="1">
      <alignment horizontal="left" vertical="center"/>
      <protection/>
    </xf>
    <xf numFmtId="0" fontId="9" fillId="43" borderId="60" xfId="0" applyFont="1" applyFill="1" applyBorder="1" applyAlignment="1" applyProtection="1">
      <alignment horizontal="left" vertical="center"/>
      <protection/>
    </xf>
    <xf numFmtId="0" fontId="9" fillId="43" borderId="62" xfId="0" applyFont="1" applyFill="1" applyBorder="1" applyAlignment="1" applyProtection="1">
      <alignment horizontal="left" vertical="center"/>
      <protection/>
    </xf>
    <xf numFmtId="0" fontId="9" fillId="43" borderId="29" xfId="0" applyFont="1" applyFill="1" applyBorder="1" applyAlignment="1" applyProtection="1">
      <alignment horizontal="left" vertical="center"/>
      <protection hidden="1"/>
    </xf>
    <xf numFmtId="0" fontId="9" fillId="43" borderId="60" xfId="0" applyFont="1" applyFill="1" applyBorder="1" applyAlignment="1" applyProtection="1">
      <alignment horizontal="left" vertical="center"/>
      <protection hidden="1"/>
    </xf>
    <xf numFmtId="0" fontId="9" fillId="43" borderId="62" xfId="0" applyFont="1" applyFill="1" applyBorder="1" applyAlignment="1" applyProtection="1">
      <alignment horizontal="left" vertical="center"/>
      <protection hidden="1"/>
    </xf>
    <xf numFmtId="0" fontId="7" fillId="36" borderId="29" xfId="0" applyFont="1" applyFill="1" applyBorder="1" applyAlignment="1" applyProtection="1">
      <alignment horizontal="right" vertical="center"/>
      <protection/>
    </xf>
    <xf numFmtId="0" fontId="7" fillId="36" borderId="60" xfId="0" applyFont="1" applyFill="1" applyBorder="1" applyAlignment="1" applyProtection="1">
      <alignment horizontal="right" vertical="center"/>
      <protection/>
    </xf>
    <xf numFmtId="0" fontId="7" fillId="36" borderId="62" xfId="0" applyFont="1" applyFill="1" applyBorder="1" applyAlignment="1" applyProtection="1">
      <alignment horizontal="right" vertical="center"/>
      <protection/>
    </xf>
    <xf numFmtId="0" fontId="33" fillId="41" borderId="29" xfId="0" applyFont="1" applyFill="1" applyBorder="1" applyAlignment="1" applyProtection="1">
      <alignment horizontal="left" vertical="center"/>
      <protection hidden="1"/>
    </xf>
    <xf numFmtId="0" fontId="33" fillId="41" borderId="60" xfId="0" applyFont="1" applyFill="1" applyBorder="1" applyAlignment="1" applyProtection="1">
      <alignment horizontal="left" vertical="center"/>
      <protection hidden="1"/>
    </xf>
    <xf numFmtId="185" fontId="7" fillId="0" borderId="34" xfId="0" applyNumberFormat="1" applyFont="1" applyFill="1" applyBorder="1" applyAlignment="1" applyProtection="1">
      <alignment horizontal="right" vertical="center"/>
      <protection locked="0"/>
    </xf>
    <xf numFmtId="185" fontId="7" fillId="0" borderId="28" xfId="0" applyNumberFormat="1" applyFont="1" applyFill="1" applyBorder="1" applyAlignment="1" applyProtection="1">
      <alignment horizontal="right" vertical="center"/>
      <protection locked="0"/>
    </xf>
    <xf numFmtId="185" fontId="7" fillId="0" borderId="35" xfId="0" applyNumberFormat="1" applyFont="1" applyFill="1" applyBorder="1" applyAlignment="1" applyProtection="1">
      <alignment horizontal="right" vertical="center"/>
      <protection locked="0"/>
    </xf>
    <xf numFmtId="0" fontId="7" fillId="36" borderId="14" xfId="0" applyFont="1" applyFill="1" applyBorder="1" applyAlignment="1" applyProtection="1">
      <alignment horizontal="center"/>
      <protection/>
    </xf>
    <xf numFmtId="185" fontId="7" fillId="43" borderId="60" xfId="0" applyNumberFormat="1" applyFont="1" applyFill="1" applyBorder="1" applyAlignment="1" applyProtection="1">
      <alignment horizontal="right" vertical="center"/>
      <protection hidden="1"/>
    </xf>
    <xf numFmtId="185" fontId="7" fillId="43" borderId="62" xfId="0" applyNumberFormat="1" applyFont="1" applyFill="1" applyBorder="1" applyAlignment="1" applyProtection="1">
      <alignment horizontal="right" vertical="center"/>
      <protection hidden="1"/>
    </xf>
    <xf numFmtId="0" fontId="7" fillId="43" borderId="14" xfId="0" applyFont="1" applyFill="1" applyBorder="1" applyAlignment="1" applyProtection="1">
      <alignment horizontal="center"/>
      <protection hidden="1"/>
    </xf>
    <xf numFmtId="0" fontId="33" fillId="41" borderId="49" xfId="0" applyFont="1" applyFill="1" applyBorder="1" applyAlignment="1" applyProtection="1">
      <alignment horizontal="left" vertical="center"/>
      <protection hidden="1"/>
    </xf>
    <xf numFmtId="0" fontId="33" fillId="41" borderId="30" xfId="0" applyFont="1" applyFill="1" applyBorder="1" applyAlignment="1" applyProtection="1">
      <alignment horizontal="left" vertical="center"/>
      <protection hidden="1"/>
    </xf>
    <xf numFmtId="185" fontId="9" fillId="43" borderId="29" xfId="0" applyNumberFormat="1" applyFont="1" applyFill="1" applyBorder="1" applyAlignment="1" applyProtection="1">
      <alignment horizontal="center" vertical="center"/>
      <protection hidden="1"/>
    </xf>
    <xf numFmtId="185" fontId="9" fillId="43" borderId="60" xfId="0" applyNumberFormat="1" applyFont="1" applyFill="1" applyBorder="1" applyAlignment="1" applyProtection="1">
      <alignment horizontal="center" vertical="center"/>
      <protection hidden="1"/>
    </xf>
    <xf numFmtId="185" fontId="9" fillId="43" borderId="62" xfId="0" applyNumberFormat="1" applyFont="1" applyFill="1" applyBorder="1" applyAlignment="1" applyProtection="1">
      <alignment horizontal="center" vertical="center"/>
      <protection hidden="1"/>
    </xf>
    <xf numFmtId="0" fontId="7" fillId="36" borderId="29" xfId="0" applyFont="1" applyFill="1" applyBorder="1" applyAlignment="1" applyProtection="1">
      <alignment horizontal="left" vertical="center" wrapText="1"/>
      <protection hidden="1"/>
    </xf>
    <xf numFmtId="0" fontId="7" fillId="36" borderId="60" xfId="0" applyFont="1" applyFill="1" applyBorder="1" applyAlignment="1" applyProtection="1">
      <alignment horizontal="left" vertical="center" wrapText="1"/>
      <protection hidden="1"/>
    </xf>
    <xf numFmtId="0" fontId="7" fillId="36" borderId="62" xfId="0" applyFont="1" applyFill="1" applyBorder="1" applyAlignment="1" applyProtection="1">
      <alignment horizontal="left" vertical="center" wrapText="1"/>
      <protection hidden="1"/>
    </xf>
    <xf numFmtId="185" fontId="7" fillId="36" borderId="34" xfId="0" applyNumberFormat="1" applyFont="1" applyFill="1" applyBorder="1" applyAlignment="1" applyProtection="1">
      <alignment horizontal="right" vertical="center"/>
      <protection hidden="1"/>
    </xf>
    <xf numFmtId="185" fontId="7" fillId="36" borderId="28" xfId="0" applyNumberFormat="1" applyFont="1" applyFill="1" applyBorder="1" applyAlignment="1" applyProtection="1">
      <alignment horizontal="right" vertical="center"/>
      <protection hidden="1"/>
    </xf>
    <xf numFmtId="185" fontId="7" fillId="36" borderId="35" xfId="0" applyNumberFormat="1" applyFont="1" applyFill="1" applyBorder="1" applyAlignment="1" applyProtection="1">
      <alignment horizontal="right" vertical="center"/>
      <protection hidden="1"/>
    </xf>
    <xf numFmtId="185" fontId="7" fillId="33" borderId="34" xfId="0" applyNumberFormat="1" applyFont="1" applyFill="1" applyBorder="1" applyAlignment="1" applyProtection="1">
      <alignment horizontal="center" vertical="center"/>
      <protection locked="0"/>
    </xf>
    <xf numFmtId="185" fontId="7" fillId="33" borderId="28" xfId="0" applyNumberFormat="1" applyFont="1" applyFill="1" applyBorder="1" applyAlignment="1" applyProtection="1">
      <alignment horizontal="center" vertical="center"/>
      <protection locked="0"/>
    </xf>
    <xf numFmtId="185" fontId="7" fillId="33" borderId="35" xfId="0" applyNumberFormat="1" applyFont="1" applyFill="1" applyBorder="1" applyAlignment="1" applyProtection="1">
      <alignment horizontal="center" vertical="center"/>
      <protection locked="0"/>
    </xf>
    <xf numFmtId="185" fontId="7" fillId="36" borderId="34" xfId="0" applyNumberFormat="1" applyFont="1" applyFill="1" applyBorder="1" applyAlignment="1" applyProtection="1">
      <alignment horizontal="center" vertical="center"/>
      <protection hidden="1"/>
    </xf>
    <xf numFmtId="185" fontId="7" fillId="36" borderId="28" xfId="0" applyNumberFormat="1" applyFont="1" applyFill="1" applyBorder="1" applyAlignment="1" applyProtection="1">
      <alignment horizontal="center" vertical="center"/>
      <protection hidden="1"/>
    </xf>
    <xf numFmtId="185" fontId="7" fillId="36" borderId="35" xfId="0" applyNumberFormat="1" applyFont="1" applyFill="1" applyBorder="1" applyAlignment="1" applyProtection="1">
      <alignment horizontal="center" vertical="center"/>
      <protection hidden="1"/>
    </xf>
    <xf numFmtId="185" fontId="7" fillId="36" borderId="36" xfId="0" applyNumberFormat="1" applyFont="1" applyFill="1" applyBorder="1" applyAlignment="1" applyProtection="1">
      <alignment horizontal="center" vertical="center"/>
      <protection hidden="1"/>
    </xf>
    <xf numFmtId="185" fontId="7" fillId="36" borderId="0" xfId="0" applyNumberFormat="1" applyFont="1" applyFill="1" applyBorder="1" applyAlignment="1" applyProtection="1">
      <alignment horizontal="center" vertical="center"/>
      <protection hidden="1"/>
    </xf>
    <xf numFmtId="185" fontId="7" fillId="36" borderId="31" xfId="0" applyNumberFormat="1" applyFont="1" applyFill="1" applyBorder="1" applyAlignment="1" applyProtection="1">
      <alignment horizontal="center" vertical="center"/>
      <protection hidden="1"/>
    </xf>
    <xf numFmtId="185" fontId="7" fillId="36" borderId="49" xfId="0" applyNumberFormat="1" applyFont="1" applyFill="1" applyBorder="1" applyAlignment="1" applyProtection="1">
      <alignment horizontal="center" vertical="center"/>
      <protection hidden="1"/>
    </xf>
    <xf numFmtId="185" fontId="7" fillId="36" borderId="30" xfId="0" applyNumberFormat="1" applyFont="1" applyFill="1" applyBorder="1" applyAlignment="1" applyProtection="1">
      <alignment horizontal="center" vertical="center"/>
      <protection hidden="1"/>
    </xf>
    <xf numFmtId="185" fontId="7" fillId="36" borderId="48" xfId="0" applyNumberFormat="1" applyFont="1" applyFill="1" applyBorder="1" applyAlignment="1" applyProtection="1">
      <alignment horizontal="center" vertical="center"/>
      <protection hidden="1"/>
    </xf>
    <xf numFmtId="0" fontId="0" fillId="36" borderId="14" xfId="0" applyFill="1" applyBorder="1" applyAlignment="1" applyProtection="1">
      <alignment horizontal="center"/>
      <protection hidden="1"/>
    </xf>
    <xf numFmtId="186" fontId="7" fillId="36" borderId="60" xfId="0" applyNumberFormat="1" applyFont="1" applyFill="1" applyBorder="1" applyAlignment="1" applyProtection="1">
      <alignment horizontal="center" vertical="center"/>
      <protection hidden="1"/>
    </xf>
    <xf numFmtId="186" fontId="7" fillId="36" borderId="62" xfId="0" applyNumberFormat="1" applyFont="1" applyFill="1" applyBorder="1" applyAlignment="1" applyProtection="1">
      <alignment horizontal="center" vertical="center"/>
      <protection hidden="1"/>
    </xf>
    <xf numFmtId="0" fontId="9" fillId="43" borderId="29" xfId="0" applyFont="1" applyFill="1" applyBorder="1" applyAlignment="1" applyProtection="1">
      <alignment horizontal="center"/>
      <protection hidden="1"/>
    </xf>
    <xf numFmtId="0" fontId="9" fillId="43" borderId="60" xfId="0" applyFont="1" applyFill="1" applyBorder="1" applyAlignment="1" applyProtection="1">
      <alignment horizontal="center"/>
      <protection hidden="1"/>
    </xf>
    <xf numFmtId="0" fontId="9" fillId="43" borderId="62" xfId="0" applyFont="1" applyFill="1" applyBorder="1" applyAlignment="1" applyProtection="1">
      <alignment horizontal="center"/>
      <protection hidden="1"/>
    </xf>
    <xf numFmtId="185" fontId="7" fillId="33" borderId="29" xfId="0" applyNumberFormat="1" applyFont="1" applyFill="1" applyBorder="1" applyAlignment="1" applyProtection="1">
      <alignment horizontal="center" vertical="center"/>
      <protection locked="0"/>
    </xf>
    <xf numFmtId="185" fontId="7" fillId="33" borderId="60" xfId="0" applyNumberFormat="1" applyFont="1" applyFill="1" applyBorder="1" applyAlignment="1" applyProtection="1">
      <alignment horizontal="center" vertical="center"/>
      <protection locked="0"/>
    </xf>
    <xf numFmtId="185" fontId="7" fillId="33" borderId="62" xfId="0" applyNumberFormat="1" applyFont="1" applyFill="1" applyBorder="1" applyAlignment="1" applyProtection="1">
      <alignment horizontal="center" vertical="center"/>
      <protection locked="0"/>
    </xf>
    <xf numFmtId="0" fontId="9" fillId="0" borderId="29" xfId="0" applyFont="1" applyFill="1" applyBorder="1" applyAlignment="1" applyProtection="1">
      <alignment horizontal="right" vertical="center" wrapText="1"/>
      <protection/>
    </xf>
    <xf numFmtId="0" fontId="9" fillId="0" borderId="60" xfId="0" applyFont="1" applyFill="1" applyBorder="1" applyAlignment="1" applyProtection="1">
      <alignment horizontal="right" vertical="center" wrapText="1"/>
      <protection/>
    </xf>
    <xf numFmtId="0" fontId="9" fillId="0" borderId="62" xfId="0" applyFont="1" applyFill="1" applyBorder="1" applyAlignment="1" applyProtection="1">
      <alignment horizontal="right" vertical="center" wrapText="1"/>
      <protection/>
    </xf>
    <xf numFmtId="0" fontId="9" fillId="36" borderId="29" xfId="0" applyFont="1" applyFill="1" applyBorder="1" applyAlignment="1" applyProtection="1">
      <alignment horizontal="right" vertical="center"/>
      <protection/>
    </xf>
    <xf numFmtId="0" fontId="9" fillId="36" borderId="60" xfId="0" applyFont="1" applyFill="1" applyBorder="1" applyAlignment="1" applyProtection="1">
      <alignment horizontal="right" vertical="center"/>
      <protection/>
    </xf>
    <xf numFmtId="0" fontId="9" fillId="36" borderId="62" xfId="0" applyFont="1" applyFill="1" applyBorder="1" applyAlignment="1" applyProtection="1">
      <alignment horizontal="right" vertical="center"/>
      <protection/>
    </xf>
    <xf numFmtId="0" fontId="26" fillId="33" borderId="12" xfId="0" applyFont="1" applyFill="1" applyBorder="1" applyAlignment="1" applyProtection="1">
      <alignment horizontal="center"/>
      <protection/>
    </xf>
    <xf numFmtId="0" fontId="26" fillId="33" borderId="0" xfId="0" applyFont="1" applyFill="1" applyBorder="1" applyAlignment="1" applyProtection="1">
      <alignment horizontal="center"/>
      <protection/>
    </xf>
    <xf numFmtId="185" fontId="7" fillId="45" borderId="60" xfId="0" applyNumberFormat="1" applyFont="1" applyFill="1" applyBorder="1" applyAlignment="1" applyProtection="1">
      <alignment horizontal="right" vertical="center"/>
      <protection hidden="1"/>
    </xf>
    <xf numFmtId="185" fontId="7" fillId="45" borderId="62" xfId="0" applyNumberFormat="1" applyFont="1" applyFill="1" applyBorder="1" applyAlignment="1" applyProtection="1">
      <alignment horizontal="right" vertical="center"/>
      <protection hidden="1"/>
    </xf>
    <xf numFmtId="0" fontId="9" fillId="40" borderId="34" xfId="0" applyFont="1" applyFill="1" applyBorder="1" applyAlignment="1" applyProtection="1">
      <alignment horizontal="center" vertical="center"/>
      <protection hidden="1"/>
    </xf>
    <xf numFmtId="0" fontId="9" fillId="40" borderId="28" xfId="0" applyFont="1" applyFill="1" applyBorder="1" applyAlignment="1" applyProtection="1">
      <alignment horizontal="center" vertical="center"/>
      <protection hidden="1"/>
    </xf>
    <xf numFmtId="0" fontId="9" fillId="40" borderId="35" xfId="0" applyFont="1" applyFill="1" applyBorder="1" applyAlignment="1" applyProtection="1">
      <alignment horizontal="center" vertical="center"/>
      <protection hidden="1"/>
    </xf>
    <xf numFmtId="0" fontId="9" fillId="43" borderId="100" xfId="0" applyFont="1" applyFill="1" applyBorder="1" applyAlignment="1" applyProtection="1">
      <alignment horizontal="center"/>
      <protection/>
    </xf>
    <xf numFmtId="0" fontId="9" fillId="43" borderId="101" xfId="0" applyFont="1" applyFill="1" applyBorder="1" applyAlignment="1" applyProtection="1">
      <alignment horizontal="center"/>
      <protection/>
    </xf>
    <xf numFmtId="0" fontId="9" fillId="43" borderId="102" xfId="0" applyFont="1" applyFill="1" applyBorder="1" applyAlignment="1" applyProtection="1">
      <alignment horizontal="center"/>
      <protection/>
    </xf>
    <xf numFmtId="14" fontId="0" fillId="0" borderId="29" xfId="0" applyNumberFormat="1" applyBorder="1" applyAlignment="1" applyProtection="1">
      <alignment horizontal="center"/>
      <protection locked="0"/>
    </xf>
    <xf numFmtId="14" fontId="0" fillId="0" borderId="60" xfId="0" applyNumberFormat="1" applyBorder="1" applyAlignment="1" applyProtection="1">
      <alignment horizontal="center"/>
      <protection locked="0"/>
    </xf>
    <xf numFmtId="14" fontId="0" fillId="0" borderId="62" xfId="0" applyNumberFormat="1" applyBorder="1" applyAlignment="1" applyProtection="1">
      <alignment horizontal="center"/>
      <protection locked="0"/>
    </xf>
    <xf numFmtId="0" fontId="24" fillId="0" borderId="0" xfId="0" applyFont="1" applyAlignment="1">
      <alignment horizontal="center"/>
    </xf>
    <xf numFmtId="0" fontId="26" fillId="0" borderId="0" xfId="0" applyFont="1" applyAlignment="1">
      <alignment horizontal="center"/>
    </xf>
    <xf numFmtId="0" fontId="9" fillId="43" borderId="101" xfId="0" applyFont="1" applyFill="1" applyBorder="1" applyAlignment="1" applyProtection="1">
      <alignment horizontal="center"/>
      <protection/>
    </xf>
    <xf numFmtId="0" fontId="9" fillId="43" borderId="102" xfId="0" applyFont="1" applyFill="1" applyBorder="1" applyAlignment="1" applyProtection="1">
      <alignment horizontal="center"/>
      <protection/>
    </xf>
    <xf numFmtId="0" fontId="14" fillId="43" borderId="12" xfId="0" applyFont="1" applyFill="1" applyBorder="1" applyAlignment="1" applyProtection="1">
      <alignment horizontal="center" vertical="center" textRotation="90"/>
      <protection/>
    </xf>
    <xf numFmtId="0" fontId="14" fillId="43" borderId="15" xfId="0" applyFont="1" applyFill="1" applyBorder="1" applyAlignment="1" applyProtection="1">
      <alignment horizontal="center" vertical="center" textRotation="90"/>
      <protection/>
    </xf>
    <xf numFmtId="0" fontId="2" fillId="33" borderId="30" xfId="0" applyFont="1" applyFill="1" applyBorder="1" applyAlignment="1">
      <alignment horizontal="center" vertical="center"/>
    </xf>
    <xf numFmtId="0" fontId="29" fillId="41" borderId="30" xfId="0" applyFont="1" applyFill="1" applyBorder="1" applyAlignment="1" applyProtection="1">
      <alignment horizontal="left" vertical="center"/>
      <protection hidden="1"/>
    </xf>
    <xf numFmtId="0" fontId="7" fillId="43" borderId="29" xfId="0" applyFont="1" applyFill="1" applyBorder="1" applyAlignment="1" applyProtection="1">
      <alignment horizontal="center" vertical="center"/>
      <protection hidden="1"/>
    </xf>
    <xf numFmtId="0" fontId="7" fillId="43" borderId="60" xfId="0" applyFont="1" applyFill="1" applyBorder="1" applyAlignment="1" applyProtection="1">
      <alignment horizontal="center" vertical="center"/>
      <protection hidden="1"/>
    </xf>
    <xf numFmtId="0" fontId="7" fillId="43" borderId="62" xfId="0" applyFont="1" applyFill="1" applyBorder="1" applyAlignment="1" applyProtection="1">
      <alignment horizontal="center" vertical="center"/>
      <protection hidden="1"/>
    </xf>
    <xf numFmtId="0" fontId="15" fillId="43" borderId="95" xfId="0" applyFont="1" applyFill="1" applyBorder="1" applyAlignment="1" applyProtection="1">
      <alignment horizontal="center" vertical="center" textRotation="90"/>
      <protection hidden="1"/>
    </xf>
    <xf numFmtId="0" fontId="15" fillId="43" borderId="96" xfId="0" applyFont="1" applyFill="1" applyBorder="1" applyAlignment="1" applyProtection="1">
      <alignment horizontal="center" vertical="center" textRotation="90"/>
      <protection hidden="1"/>
    </xf>
    <xf numFmtId="0" fontId="15" fillId="43" borderId="12" xfId="0" applyFont="1" applyFill="1" applyBorder="1" applyAlignment="1" applyProtection="1">
      <alignment horizontal="center" vertical="center" textRotation="90"/>
      <protection hidden="1"/>
    </xf>
    <xf numFmtId="0" fontId="15" fillId="43" borderId="15" xfId="0" applyFont="1" applyFill="1" applyBorder="1" applyAlignment="1" applyProtection="1">
      <alignment horizontal="center" vertical="center" textRotation="90"/>
      <protection hidden="1"/>
    </xf>
    <xf numFmtId="0" fontId="29" fillId="41" borderId="60" xfId="0" applyFont="1" applyFill="1" applyBorder="1" applyAlignment="1" applyProtection="1">
      <alignment horizontal="left" vertical="center"/>
      <protection hidden="1"/>
    </xf>
    <xf numFmtId="0" fontId="29" fillId="41" borderId="62" xfId="0" applyFont="1" applyFill="1" applyBorder="1" applyAlignment="1" applyProtection="1">
      <alignment horizontal="left" vertical="center"/>
      <protection hidden="1"/>
    </xf>
    <xf numFmtId="0" fontId="9" fillId="43" borderId="29" xfId="0" applyFont="1" applyFill="1" applyBorder="1" applyAlignment="1" applyProtection="1">
      <alignment horizontal="center" vertical="center"/>
      <protection hidden="1"/>
    </xf>
    <xf numFmtId="0" fontId="9" fillId="43" borderId="60" xfId="0" applyFont="1" applyFill="1" applyBorder="1" applyAlignment="1" applyProtection="1">
      <alignment horizontal="center" vertical="center"/>
      <protection hidden="1"/>
    </xf>
    <xf numFmtId="0" fontId="9" fillId="43" borderId="62" xfId="0" applyFont="1" applyFill="1" applyBorder="1" applyAlignment="1" applyProtection="1">
      <alignment horizontal="center" vertical="center"/>
      <protection hidden="1"/>
    </xf>
    <xf numFmtId="185" fontId="7" fillId="43" borderId="14" xfId="0" applyNumberFormat="1" applyFont="1" applyFill="1" applyBorder="1" applyAlignment="1" applyProtection="1">
      <alignment horizontal="right" vertical="center"/>
      <protection hidden="1"/>
    </xf>
    <xf numFmtId="0" fontId="14" fillId="43" borderId="96" xfId="0" applyFont="1" applyFill="1" applyBorder="1" applyAlignment="1" applyProtection="1">
      <alignment/>
      <protection/>
    </xf>
    <xf numFmtId="0" fontId="14" fillId="43" borderId="97" xfId="0" applyFont="1" applyFill="1" applyBorder="1" applyAlignment="1" applyProtection="1">
      <alignment/>
      <protection/>
    </xf>
    <xf numFmtId="0" fontId="2" fillId="33" borderId="60" xfId="0" applyFont="1" applyFill="1" applyBorder="1" applyAlignment="1" applyProtection="1">
      <alignment horizontal="left" vertical="center"/>
      <protection locked="0"/>
    </xf>
    <xf numFmtId="0" fontId="0" fillId="0" borderId="29" xfId="0" applyBorder="1" applyAlignment="1" applyProtection="1">
      <alignment horizontal="left"/>
      <protection locked="0"/>
    </xf>
    <xf numFmtId="0" fontId="0" fillId="0" borderId="60" xfId="0" applyBorder="1" applyAlignment="1" applyProtection="1">
      <alignment horizontal="left"/>
      <protection locked="0"/>
    </xf>
    <xf numFmtId="0" fontId="0" fillId="0" borderId="62" xfId="0" applyBorder="1" applyAlignment="1" applyProtection="1">
      <alignment horizontal="left"/>
      <protection locked="0"/>
    </xf>
    <xf numFmtId="0" fontId="0" fillId="0" borderId="2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2" xfId="0" applyBorder="1" applyAlignment="1" applyProtection="1">
      <alignment horizontal="center"/>
      <protection locked="0"/>
    </xf>
    <xf numFmtId="0" fontId="0" fillId="33" borderId="29" xfId="0" applyFont="1" applyFill="1" applyBorder="1" applyAlignment="1" applyProtection="1">
      <alignment horizontal="left" vertical="center"/>
      <protection locked="0"/>
    </xf>
    <xf numFmtId="0" fontId="0" fillId="33" borderId="60" xfId="0" applyFont="1" applyFill="1" applyBorder="1" applyAlignment="1" applyProtection="1">
      <alignment horizontal="left" vertical="center"/>
      <protection locked="0"/>
    </xf>
    <xf numFmtId="0" fontId="0" fillId="33" borderId="62" xfId="0" applyFont="1" applyFill="1" applyBorder="1" applyAlignment="1" applyProtection="1">
      <alignment horizontal="left" vertical="center"/>
      <protection locked="0"/>
    </xf>
    <xf numFmtId="0" fontId="0" fillId="33" borderId="29" xfId="0" applyFont="1" applyFill="1" applyBorder="1" applyAlignment="1" applyProtection="1">
      <alignment horizontal="center" vertical="center"/>
      <protection locked="0"/>
    </xf>
    <xf numFmtId="0" fontId="0" fillId="33" borderId="60" xfId="0" applyFont="1" applyFill="1" applyBorder="1" applyAlignment="1" applyProtection="1">
      <alignment horizontal="center" vertical="center"/>
      <protection locked="0"/>
    </xf>
    <xf numFmtId="0" fontId="0" fillId="33" borderId="62" xfId="0" applyFont="1" applyFill="1" applyBorder="1" applyAlignment="1" applyProtection="1">
      <alignment horizontal="center" vertical="center"/>
      <protection locked="0"/>
    </xf>
    <xf numFmtId="0" fontId="0" fillId="33" borderId="29" xfId="0" applyFont="1" applyFill="1" applyBorder="1" applyAlignment="1" applyProtection="1">
      <alignment horizontal="left" vertical="center"/>
      <protection locked="0"/>
    </xf>
    <xf numFmtId="0" fontId="0" fillId="33" borderId="60" xfId="0" applyFont="1" applyFill="1" applyBorder="1" applyAlignment="1" applyProtection="1">
      <alignment horizontal="left" vertical="center"/>
      <protection locked="0"/>
    </xf>
    <xf numFmtId="0" fontId="0" fillId="33" borderId="62" xfId="0" applyFont="1" applyFill="1" applyBorder="1" applyAlignment="1" applyProtection="1">
      <alignment horizontal="left" vertical="center"/>
      <protection locked="0"/>
    </xf>
    <xf numFmtId="0" fontId="7" fillId="33" borderId="0" xfId="0" applyFont="1" applyFill="1" applyAlignment="1" applyProtection="1">
      <alignment horizontal="left" vertical="center"/>
      <protection locked="0"/>
    </xf>
    <xf numFmtId="0" fontId="14" fillId="43" borderId="95" xfId="0" applyFont="1" applyFill="1" applyBorder="1" applyAlignment="1">
      <alignment horizontal="center" vertical="center" textRotation="90"/>
    </xf>
    <xf numFmtId="0" fontId="14" fillId="43" borderId="96" xfId="0" applyFont="1" applyFill="1" applyBorder="1" applyAlignment="1">
      <alignment horizontal="center" vertical="center" textRotation="90"/>
    </xf>
    <xf numFmtId="0" fontId="14" fillId="43" borderId="97" xfId="0" applyFont="1" applyFill="1" applyBorder="1" applyAlignment="1">
      <alignment horizontal="center" vertical="center" textRotation="90"/>
    </xf>
    <xf numFmtId="0" fontId="14" fillId="43" borderId="96" xfId="0" applyFont="1" applyFill="1" applyBorder="1" applyAlignment="1" applyProtection="1">
      <alignment horizontal="center" vertical="center" textRotation="90" wrapText="1"/>
      <protection/>
    </xf>
    <xf numFmtId="0" fontId="111" fillId="0" borderId="16"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7" fillId="33" borderId="29" xfId="44" applyFont="1" applyFill="1" applyBorder="1" applyAlignment="1" applyProtection="1">
      <alignment horizontal="left" vertical="center"/>
      <protection locked="0"/>
    </xf>
    <xf numFmtId="0" fontId="0" fillId="0" borderId="0" xfId="0" applyBorder="1" applyAlignment="1" applyProtection="1">
      <alignment horizontal="left" vertical="center"/>
      <protection hidden="1"/>
    </xf>
    <xf numFmtId="185" fontId="7" fillId="0" borderId="29" xfId="0" applyNumberFormat="1" applyFont="1" applyFill="1" applyBorder="1" applyAlignment="1" applyProtection="1">
      <alignment horizontal="right" vertical="center"/>
      <protection locked="0"/>
    </xf>
    <xf numFmtId="185" fontId="7" fillId="0" borderId="60" xfId="0" applyNumberFormat="1" applyFont="1" applyFill="1" applyBorder="1" applyAlignment="1" applyProtection="1">
      <alignment horizontal="right" vertical="center"/>
      <protection locked="0"/>
    </xf>
    <xf numFmtId="185" fontId="7" fillId="0" borderId="62" xfId="0" applyNumberFormat="1" applyFont="1" applyFill="1" applyBorder="1" applyAlignment="1" applyProtection="1">
      <alignment horizontal="right" vertical="center"/>
      <protection locked="0"/>
    </xf>
    <xf numFmtId="0" fontId="7" fillId="36" borderId="29" xfId="0" applyFont="1" applyFill="1" applyBorder="1" applyAlignment="1" applyProtection="1">
      <alignment horizontal="center" vertical="center"/>
      <protection/>
    </xf>
    <xf numFmtId="0" fontId="7" fillId="36" borderId="60" xfId="0" applyFont="1" applyFill="1" applyBorder="1" applyAlignment="1" applyProtection="1">
      <alignment horizontal="center" vertical="center"/>
      <protection/>
    </xf>
    <xf numFmtId="0" fontId="7" fillId="36" borderId="62" xfId="0" applyFont="1" applyFill="1" applyBorder="1" applyAlignment="1" applyProtection="1">
      <alignment horizontal="center" vertical="center"/>
      <protection/>
    </xf>
    <xf numFmtId="176" fontId="7" fillId="36" borderId="29" xfId="0" applyNumberFormat="1" applyFont="1" applyFill="1" applyBorder="1" applyAlignment="1" applyProtection="1">
      <alignment horizontal="center" vertical="center"/>
      <protection hidden="1"/>
    </xf>
    <xf numFmtId="176" fontId="7" fillId="36" borderId="60" xfId="0" applyNumberFormat="1" applyFont="1" applyFill="1" applyBorder="1" applyAlignment="1" applyProtection="1">
      <alignment horizontal="center" vertical="center"/>
      <protection hidden="1"/>
    </xf>
    <xf numFmtId="0" fontId="7" fillId="33" borderId="98" xfId="0" applyFont="1" applyFill="1" applyBorder="1" applyAlignment="1" applyProtection="1">
      <alignment horizontal="left" vertical="center"/>
      <protection hidden="1"/>
    </xf>
    <xf numFmtId="0" fontId="7" fillId="33" borderId="99" xfId="0" applyFont="1" applyFill="1" applyBorder="1" applyAlignment="1" applyProtection="1">
      <alignment horizontal="left" vertical="center"/>
      <protection hidden="1"/>
    </xf>
    <xf numFmtId="0" fontId="2" fillId="0" borderId="60"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7" fillId="33" borderId="104"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hidden="1"/>
    </xf>
    <xf numFmtId="0" fontId="2" fillId="33" borderId="98" xfId="0" applyFont="1" applyFill="1" applyBorder="1" applyAlignment="1" applyProtection="1">
      <alignment horizontal="center" vertical="center"/>
      <protection locked="0"/>
    </xf>
    <xf numFmtId="0" fontId="2" fillId="33" borderId="61" xfId="0" applyFont="1" applyFill="1" applyBorder="1" applyAlignment="1" applyProtection="1">
      <alignment horizontal="center" vertical="center"/>
      <protection locked="0"/>
    </xf>
    <xf numFmtId="0" fontId="2" fillId="33" borderId="99"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protection/>
    </xf>
    <xf numFmtId="0" fontId="33" fillId="41" borderId="62" xfId="0" applyFont="1" applyFill="1" applyBorder="1" applyAlignment="1" applyProtection="1">
      <alignment horizontal="left" vertical="center"/>
      <protection hidden="1"/>
    </xf>
    <xf numFmtId="3" fontId="34" fillId="33" borderId="0" xfId="0" applyNumberFormat="1" applyFont="1" applyFill="1" applyBorder="1" applyAlignment="1" applyProtection="1">
      <alignment horizontal="center" vertical="center"/>
      <protection hidden="1"/>
    </xf>
    <xf numFmtId="0" fontId="9" fillId="40" borderId="29" xfId="0" applyFont="1" applyFill="1" applyBorder="1" applyAlignment="1" applyProtection="1">
      <alignment horizontal="left" vertical="center"/>
      <protection hidden="1"/>
    </xf>
    <xf numFmtId="0" fontId="9" fillId="40" borderId="60" xfId="0" applyFont="1" applyFill="1" applyBorder="1" applyAlignment="1" applyProtection="1">
      <alignment horizontal="left" vertical="center"/>
      <protection hidden="1"/>
    </xf>
    <xf numFmtId="0" fontId="9" fillId="40" borderId="62" xfId="0" applyFont="1" applyFill="1" applyBorder="1" applyAlignment="1" applyProtection="1">
      <alignment horizontal="left" vertical="center"/>
      <protection hidden="1"/>
    </xf>
    <xf numFmtId="0" fontId="33" fillId="41" borderId="29" xfId="0" applyFont="1" applyFill="1" applyBorder="1" applyAlignment="1" applyProtection="1">
      <alignment horizontal="left" vertical="center" wrapText="1"/>
      <protection hidden="1"/>
    </xf>
    <xf numFmtId="0" fontId="33" fillId="41" borderId="60" xfId="0" applyFont="1" applyFill="1" applyBorder="1" applyAlignment="1" applyProtection="1">
      <alignment horizontal="left" vertical="center" wrapText="1"/>
      <protection hidden="1"/>
    </xf>
    <xf numFmtId="0" fontId="112" fillId="41" borderId="29" xfId="0" applyFont="1" applyFill="1" applyBorder="1" applyAlignment="1" applyProtection="1">
      <alignment horizontal="left" vertical="center"/>
      <protection/>
    </xf>
    <xf numFmtId="0" fontId="29" fillId="41" borderId="60" xfId="0" applyFont="1" applyFill="1" applyBorder="1" applyAlignment="1" applyProtection="1">
      <alignment horizontal="left" vertical="center"/>
      <protection/>
    </xf>
    <xf numFmtId="0" fontId="29" fillId="41" borderId="62" xfId="0" applyFont="1" applyFill="1" applyBorder="1" applyAlignment="1" applyProtection="1">
      <alignment horizontal="left" vertical="center"/>
      <protection/>
    </xf>
    <xf numFmtId="0" fontId="17" fillId="33" borderId="29" xfId="44" applyFill="1" applyBorder="1" applyAlignment="1" applyProtection="1">
      <alignment horizontal="left" vertical="center"/>
      <protection locked="0"/>
    </xf>
    <xf numFmtId="0" fontId="14" fillId="43" borderId="12" xfId="0" applyFont="1" applyFill="1" applyBorder="1" applyAlignment="1" applyProtection="1">
      <alignment horizontal="center" vertical="center" textRotation="90"/>
      <protection hidden="1"/>
    </xf>
    <xf numFmtId="0" fontId="14" fillId="43" borderId="15" xfId="0" applyFont="1" applyFill="1" applyBorder="1" applyAlignment="1" applyProtection="1">
      <alignment horizontal="center" vertical="center" textRotation="90"/>
      <protection hidden="1"/>
    </xf>
    <xf numFmtId="0" fontId="7" fillId="35" borderId="34" xfId="0" applyFont="1" applyFill="1" applyBorder="1" applyAlignment="1" applyProtection="1">
      <alignment horizontal="center" vertical="center"/>
      <protection hidden="1"/>
    </xf>
    <xf numFmtId="0" fontId="7" fillId="35" borderId="28" xfId="0" applyFont="1" applyFill="1" applyBorder="1" applyAlignment="1" applyProtection="1">
      <alignment horizontal="center" vertical="center"/>
      <protection hidden="1"/>
    </xf>
    <xf numFmtId="0" fontId="7" fillId="35" borderId="35" xfId="0" applyFont="1" applyFill="1" applyBorder="1" applyAlignment="1" applyProtection="1">
      <alignment horizontal="center" vertical="center"/>
      <protection hidden="1"/>
    </xf>
    <xf numFmtId="0" fontId="7" fillId="33" borderId="29" xfId="0" applyFont="1" applyFill="1" applyBorder="1" applyAlignment="1" applyProtection="1">
      <alignment vertical="center"/>
      <protection locked="0"/>
    </xf>
    <xf numFmtId="0" fontId="7" fillId="33" borderId="60" xfId="0" applyFont="1" applyFill="1" applyBorder="1" applyAlignment="1" applyProtection="1">
      <alignment vertical="center"/>
      <protection locked="0"/>
    </xf>
    <xf numFmtId="0" fontId="7" fillId="33" borderId="62" xfId="0" applyFont="1" applyFill="1" applyBorder="1" applyAlignment="1" applyProtection="1">
      <alignment vertical="center"/>
      <protection locked="0"/>
    </xf>
    <xf numFmtId="0" fontId="14" fillId="43" borderId="10" xfId="0" applyFont="1" applyFill="1" applyBorder="1" applyAlignment="1">
      <alignment horizontal="center" vertical="center" textRotation="90"/>
    </xf>
    <xf numFmtId="0" fontId="0" fillId="0" borderId="30" xfId="0" applyBorder="1" applyAlignment="1" applyProtection="1">
      <alignment/>
      <protection locked="0"/>
    </xf>
    <xf numFmtId="0" fontId="15" fillId="40" borderId="20" xfId="0" applyFont="1" applyFill="1" applyBorder="1" applyAlignment="1" applyProtection="1">
      <alignment horizontal="center" vertical="center"/>
      <protection hidden="1"/>
    </xf>
    <xf numFmtId="0" fontId="15" fillId="40" borderId="32" xfId="0" applyFont="1" applyFill="1" applyBorder="1" applyAlignment="1" applyProtection="1">
      <alignment horizontal="center" vertical="center"/>
      <protection hidden="1"/>
    </xf>
    <xf numFmtId="0" fontId="15" fillId="40" borderId="24" xfId="0" applyFont="1" applyFill="1" applyBorder="1" applyAlignment="1" applyProtection="1">
      <alignment horizontal="center" vertical="center"/>
      <protection hidden="1"/>
    </xf>
    <xf numFmtId="0" fontId="15" fillId="42" borderId="20" xfId="0" applyFont="1" applyFill="1" applyBorder="1" applyAlignment="1" applyProtection="1">
      <alignment horizontal="center" vertical="center"/>
      <protection hidden="1"/>
    </xf>
    <xf numFmtId="0" fontId="15" fillId="42" borderId="24" xfId="0" applyFont="1" applyFill="1" applyBorder="1" applyAlignment="1" applyProtection="1">
      <alignment horizontal="center" vertical="center"/>
      <protection hidden="1"/>
    </xf>
    <xf numFmtId="0" fontId="7" fillId="0" borderId="30" xfId="0" applyFont="1" applyBorder="1" applyAlignment="1" applyProtection="1">
      <alignment horizontal="left"/>
      <protection hidden="1"/>
    </xf>
    <xf numFmtId="0" fontId="15" fillId="40" borderId="20" xfId="0" applyFont="1" applyFill="1" applyBorder="1" applyAlignment="1" applyProtection="1">
      <alignment horizontal="center" vertical="center" wrapText="1"/>
      <protection hidden="1"/>
    </xf>
    <xf numFmtId="0" fontId="15" fillId="42" borderId="36" xfId="0" applyFont="1" applyFill="1" applyBorder="1" applyAlignment="1" applyProtection="1">
      <alignment horizontal="center" vertical="center" wrapText="1"/>
      <protection hidden="1"/>
    </xf>
    <xf numFmtId="0" fontId="0" fillId="42" borderId="49" xfId="0" applyFill="1" applyBorder="1" applyAlignment="1" applyProtection="1">
      <alignment horizontal="center" vertical="center" wrapText="1"/>
      <protection hidden="1"/>
    </xf>
    <xf numFmtId="14" fontId="44" fillId="0" borderId="0" xfId="0" applyNumberFormat="1" applyFont="1" applyFill="1" applyAlignment="1">
      <alignment horizontal="right" vertical="top"/>
    </xf>
    <xf numFmtId="0" fontId="15" fillId="40" borderId="20" xfId="0" applyFont="1" applyFill="1" applyBorder="1" applyAlignment="1" applyProtection="1">
      <alignment horizontal="center" vertical="center" textRotation="90" wrapText="1"/>
      <protection hidden="1"/>
    </xf>
    <xf numFmtId="0" fontId="15" fillId="40" borderId="32" xfId="0" applyFont="1" applyFill="1" applyBorder="1" applyAlignment="1" applyProtection="1">
      <alignment horizontal="center" vertical="center" textRotation="90" wrapText="1"/>
      <protection hidden="1"/>
    </xf>
    <xf numFmtId="0" fontId="15" fillId="40" borderId="24" xfId="0" applyFont="1" applyFill="1" applyBorder="1" applyAlignment="1" applyProtection="1">
      <alignment horizontal="center" vertical="center" textRotation="90" wrapText="1"/>
      <protection hidden="1"/>
    </xf>
    <xf numFmtId="0" fontId="0" fillId="42" borderId="24" xfId="0" applyFill="1" applyBorder="1" applyAlignment="1" applyProtection="1">
      <alignment horizontal="center" vertical="center"/>
      <protection hidden="1"/>
    </xf>
    <xf numFmtId="0" fontId="15" fillId="42" borderId="20" xfId="0" applyFont="1" applyFill="1" applyBorder="1" applyAlignment="1" applyProtection="1">
      <alignment horizontal="center" vertical="center" wrapText="1"/>
      <protection hidden="1"/>
    </xf>
    <xf numFmtId="0" fontId="0" fillId="42" borderId="24" xfId="0" applyFill="1" applyBorder="1" applyAlignment="1" applyProtection="1">
      <alignment horizontal="center" vertical="center" wrapText="1"/>
      <protection hidden="1"/>
    </xf>
    <xf numFmtId="0" fontId="15" fillId="40" borderId="20" xfId="0" applyFont="1" applyFill="1" applyBorder="1" applyAlignment="1" applyProtection="1">
      <alignment horizontal="center" vertical="center" textRotation="90"/>
      <protection hidden="1"/>
    </xf>
    <xf numFmtId="0" fontId="15" fillId="40" borderId="32" xfId="0" applyFont="1" applyFill="1" applyBorder="1" applyAlignment="1" applyProtection="1">
      <alignment horizontal="center" vertical="center" textRotation="90"/>
      <protection hidden="1"/>
    </xf>
    <xf numFmtId="0" fontId="15" fillId="40" borderId="24" xfId="0" applyFont="1" applyFill="1" applyBorder="1" applyAlignment="1" applyProtection="1">
      <alignment horizontal="center" vertical="center" textRotation="90"/>
      <protection hidden="1"/>
    </xf>
    <xf numFmtId="0" fontId="104" fillId="41" borderId="29" xfId="0" applyFont="1" applyFill="1" applyBorder="1" applyAlignment="1" applyProtection="1">
      <alignment horizontal="center" vertical="center" wrapText="1"/>
      <protection hidden="1"/>
    </xf>
    <xf numFmtId="0" fontId="104" fillId="41" borderId="60" xfId="0" applyFont="1" applyFill="1" applyBorder="1" applyAlignment="1" applyProtection="1">
      <alignment horizontal="center" vertical="center" wrapText="1"/>
      <protection hidden="1"/>
    </xf>
    <xf numFmtId="0" fontId="104" fillId="41" borderId="62" xfId="0" applyFont="1" applyFill="1" applyBorder="1" applyAlignment="1" applyProtection="1">
      <alignment horizontal="center" vertical="center" wrapText="1"/>
      <protection hidden="1"/>
    </xf>
    <xf numFmtId="0" fontId="15" fillId="40" borderId="29" xfId="0" applyFont="1" applyFill="1" applyBorder="1" applyAlignment="1" applyProtection="1">
      <alignment horizontal="center" vertical="center"/>
      <protection hidden="1"/>
    </xf>
    <xf numFmtId="0" fontId="15" fillId="40" borderId="60" xfId="0" applyFont="1" applyFill="1" applyBorder="1" applyAlignment="1" applyProtection="1">
      <alignment horizontal="center" vertical="center"/>
      <protection hidden="1"/>
    </xf>
    <xf numFmtId="0" fontId="15" fillId="40" borderId="62" xfId="0" applyFont="1" applyFill="1" applyBorder="1" applyAlignment="1" applyProtection="1">
      <alignment horizontal="center" vertical="center"/>
      <protection hidden="1"/>
    </xf>
    <xf numFmtId="0" fontId="0" fillId="40" borderId="32" xfId="0" applyFill="1" applyBorder="1" applyAlignment="1" applyProtection="1">
      <alignment horizontal="center" vertical="center" wrapText="1"/>
      <protection hidden="1"/>
    </xf>
    <xf numFmtId="0" fontId="0" fillId="40" borderId="24" xfId="0" applyFill="1" applyBorder="1" applyAlignment="1" applyProtection="1">
      <alignment horizontal="center" vertical="center" wrapText="1"/>
      <protection hidden="1"/>
    </xf>
    <xf numFmtId="0" fontId="0" fillId="40" borderId="32" xfId="0" applyFill="1" applyBorder="1" applyAlignment="1" applyProtection="1">
      <alignment horizontal="center" vertical="center"/>
      <protection hidden="1"/>
    </xf>
    <xf numFmtId="0" fontId="0" fillId="40" borderId="24" xfId="0" applyFill="1" applyBorder="1" applyAlignment="1" applyProtection="1">
      <alignment horizontal="center" vertical="center"/>
      <protection hidden="1"/>
    </xf>
    <xf numFmtId="0" fontId="15" fillId="42" borderId="32" xfId="0" applyFont="1" applyFill="1" applyBorder="1" applyAlignment="1" applyProtection="1">
      <alignment horizontal="center" vertical="center" wrapText="1"/>
      <protection hidden="1"/>
    </xf>
    <xf numFmtId="0" fontId="15" fillId="42" borderId="24" xfId="0" applyFont="1" applyFill="1" applyBorder="1" applyAlignment="1" applyProtection="1">
      <alignment horizontal="center" vertical="center" wrapText="1"/>
      <protection hidden="1"/>
    </xf>
    <xf numFmtId="0" fontId="15" fillId="40" borderId="29" xfId="0" applyFont="1" applyFill="1" applyBorder="1" applyAlignment="1" applyProtection="1">
      <alignment horizontal="center" vertical="center" wrapText="1"/>
      <protection hidden="1"/>
    </xf>
    <xf numFmtId="0" fontId="0" fillId="40" borderId="60" xfId="0" applyFill="1" applyBorder="1" applyAlignment="1" applyProtection="1">
      <alignment horizontal="center" vertical="center"/>
      <protection hidden="1"/>
    </xf>
    <xf numFmtId="0" fontId="0" fillId="40" borderId="62" xfId="0" applyFill="1" applyBorder="1" applyAlignment="1" applyProtection="1">
      <alignment horizontal="center" vertical="center"/>
      <protection hidden="1"/>
    </xf>
    <xf numFmtId="0" fontId="15" fillId="42" borderId="29" xfId="0" applyFont="1" applyFill="1" applyBorder="1" applyAlignment="1" applyProtection="1">
      <alignment horizontal="center" vertical="center"/>
      <protection hidden="1"/>
    </xf>
    <xf numFmtId="0" fontId="15" fillId="42" borderId="60" xfId="0" applyFont="1" applyFill="1" applyBorder="1" applyAlignment="1" applyProtection="1">
      <alignment horizontal="center" vertical="center"/>
      <protection hidden="1"/>
    </xf>
    <xf numFmtId="0" fontId="15" fillId="42" borderId="62" xfId="0" applyFont="1" applyFill="1" applyBorder="1" applyAlignment="1" applyProtection="1">
      <alignment horizontal="center" vertical="center"/>
      <protection hidden="1"/>
    </xf>
    <xf numFmtId="0" fontId="0" fillId="40" borderId="32" xfId="0" applyFill="1" applyBorder="1" applyAlignment="1" applyProtection="1">
      <alignment horizontal="center" vertical="center" textRotation="90" wrapText="1"/>
      <protection hidden="1"/>
    </xf>
    <xf numFmtId="0" fontId="0" fillId="40" borderId="24" xfId="0" applyFill="1" applyBorder="1" applyAlignment="1" applyProtection="1">
      <alignment horizontal="center" vertical="center" textRotation="90" wrapText="1"/>
      <protection hidden="1"/>
    </xf>
    <xf numFmtId="0" fontId="0" fillId="40" borderId="62" xfId="0" applyFill="1" applyBorder="1" applyAlignment="1" applyProtection="1">
      <alignment horizontal="center" vertical="center" wrapText="1"/>
      <protection hidden="1"/>
    </xf>
    <xf numFmtId="0" fontId="102" fillId="0" borderId="0" xfId="0" applyFont="1" applyAlignment="1" applyProtection="1">
      <alignment horizontal="center"/>
      <protection hidden="1"/>
    </xf>
    <xf numFmtId="182" fontId="3" fillId="0" borderId="98" xfId="0" applyNumberFormat="1" applyFont="1" applyFill="1" applyBorder="1" applyAlignment="1" applyProtection="1">
      <alignment horizontal="center"/>
      <protection hidden="1"/>
    </xf>
    <xf numFmtId="182" fontId="3" fillId="0" borderId="99" xfId="0" applyNumberFormat="1" applyFont="1" applyFill="1" applyBorder="1" applyAlignment="1" applyProtection="1">
      <alignment horizontal="center"/>
      <protection hidden="1"/>
    </xf>
    <xf numFmtId="182" fontId="3" fillId="0" borderId="105" xfId="0" applyNumberFormat="1" applyFont="1" applyFill="1" applyBorder="1" applyAlignment="1" applyProtection="1">
      <alignment horizontal="center"/>
      <protection hidden="1"/>
    </xf>
    <xf numFmtId="182" fontId="3" fillId="0" borderId="106" xfId="0" applyNumberFormat="1" applyFont="1" applyFill="1" applyBorder="1" applyAlignment="1" applyProtection="1">
      <alignment horizontal="center"/>
      <protection hidden="1"/>
    </xf>
    <xf numFmtId="182" fontId="1" fillId="0" borderId="79" xfId="0" applyNumberFormat="1" applyFont="1" applyFill="1" applyBorder="1" applyAlignment="1" applyProtection="1">
      <alignment horizontal="center"/>
      <protection hidden="1"/>
    </xf>
    <xf numFmtId="182" fontId="1" fillId="0" borderId="81" xfId="0" applyNumberFormat="1" applyFont="1" applyFill="1" applyBorder="1" applyAlignment="1" applyProtection="1">
      <alignment horizontal="center"/>
      <protection hidden="1"/>
    </xf>
    <xf numFmtId="0" fontId="0" fillId="43" borderId="10" xfId="0" applyNumberFormat="1" applyFill="1" applyBorder="1" applyAlignment="1" applyProtection="1">
      <alignment horizontal="center"/>
      <protection hidden="1"/>
    </xf>
    <xf numFmtId="0" fontId="0" fillId="43" borderId="11" xfId="0" applyNumberFormat="1" applyFill="1" applyBorder="1" applyAlignment="1" applyProtection="1">
      <alignment horizontal="center"/>
      <protection hidden="1"/>
    </xf>
    <xf numFmtId="0" fontId="0" fillId="42" borderId="49" xfId="0" applyFill="1" applyBorder="1" applyAlignment="1" applyProtection="1">
      <alignment horizontal="center" vertical="center"/>
      <protection hidden="1"/>
    </xf>
    <xf numFmtId="0" fontId="0" fillId="42" borderId="30" xfId="0" applyFill="1" applyBorder="1" applyAlignment="1" applyProtection="1">
      <alignment horizontal="center" vertical="center"/>
      <protection hidden="1"/>
    </xf>
    <xf numFmtId="0" fontId="0" fillId="42" borderId="48" xfId="0" applyFill="1" applyBorder="1" applyAlignment="1" applyProtection="1">
      <alignment horizontal="center" vertical="center"/>
      <protection hidden="1"/>
    </xf>
    <xf numFmtId="0" fontId="0" fillId="42" borderId="29" xfId="0" applyFill="1" applyBorder="1" applyAlignment="1" applyProtection="1">
      <alignment horizontal="center"/>
      <protection hidden="1"/>
    </xf>
    <xf numFmtId="0" fontId="0" fillId="42" borderId="60" xfId="0" applyFill="1" applyBorder="1" applyAlignment="1" applyProtection="1">
      <alignment horizontal="center"/>
      <protection hidden="1"/>
    </xf>
    <xf numFmtId="0" fontId="0" fillId="42" borderId="62" xfId="0" applyFill="1" applyBorder="1" applyAlignment="1" applyProtection="1">
      <alignment horizontal="center"/>
      <protection hidden="1"/>
    </xf>
    <xf numFmtId="0" fontId="0" fillId="43" borderId="100" xfId="0" applyNumberFormat="1" applyFill="1" applyBorder="1" applyAlignment="1" applyProtection="1">
      <alignment horizontal="center"/>
      <protection hidden="1"/>
    </xf>
    <xf numFmtId="0" fontId="0" fillId="43" borderId="101" xfId="0" applyNumberFormat="1" applyFill="1" applyBorder="1" applyAlignment="1" applyProtection="1">
      <alignment horizontal="center"/>
      <protection hidden="1"/>
    </xf>
    <xf numFmtId="0" fontId="0" fillId="43" borderId="102" xfId="0" applyNumberFormat="1" applyFill="1" applyBorder="1" applyAlignment="1" applyProtection="1">
      <alignment horizontal="center"/>
      <protection hidden="1"/>
    </xf>
    <xf numFmtId="0" fontId="0" fillId="0" borderId="30" xfId="0" applyBorder="1" applyAlignment="1" applyProtection="1">
      <alignment horizontal="left"/>
      <protection hidden="1"/>
    </xf>
    <xf numFmtId="0" fontId="113" fillId="41" borderId="100" xfId="0" applyFont="1" applyFill="1" applyBorder="1" applyAlignment="1" applyProtection="1">
      <alignment horizontal="center" vertical="center"/>
      <protection hidden="1"/>
    </xf>
    <xf numFmtId="0" fontId="113" fillId="41" borderId="101" xfId="0" applyFont="1" applyFill="1" applyBorder="1" applyAlignment="1" applyProtection="1">
      <alignment horizontal="center" vertical="center"/>
      <protection hidden="1"/>
    </xf>
    <xf numFmtId="0" fontId="113" fillId="41" borderId="107" xfId="0" applyFont="1" applyFill="1" applyBorder="1" applyAlignment="1" applyProtection="1">
      <alignment horizontal="center" vertical="center"/>
      <protection hidden="1"/>
    </xf>
    <xf numFmtId="0" fontId="0" fillId="42" borderId="108" xfId="0" applyFill="1" applyBorder="1" applyAlignment="1" applyProtection="1">
      <alignment horizontal="center"/>
      <protection hidden="1"/>
    </xf>
    <xf numFmtId="0" fontId="0" fillId="42" borderId="19" xfId="0" applyFill="1" applyBorder="1" applyAlignment="1" applyProtection="1">
      <alignment horizontal="center"/>
      <protection hidden="1"/>
    </xf>
    <xf numFmtId="0" fontId="0" fillId="42" borderId="109" xfId="0" applyFill="1" applyBorder="1" applyAlignment="1" applyProtection="1">
      <alignment horizontal="center"/>
      <protection hidden="1"/>
    </xf>
    <xf numFmtId="0" fontId="113" fillId="41" borderId="102" xfId="0" applyFont="1" applyFill="1" applyBorder="1" applyAlignment="1" applyProtection="1">
      <alignment horizontal="center" vertical="center"/>
      <protection hidden="1"/>
    </xf>
    <xf numFmtId="182" fontId="0" fillId="42" borderId="11" xfId="0" applyNumberFormat="1" applyFill="1" applyBorder="1" applyAlignment="1" applyProtection="1">
      <alignment horizontal="center"/>
      <protection hidden="1"/>
    </xf>
    <xf numFmtId="0" fontId="1" fillId="0" borderId="110" xfId="0" applyFont="1" applyFill="1" applyBorder="1" applyAlignment="1" applyProtection="1">
      <alignment/>
      <protection hidden="1"/>
    </xf>
    <xf numFmtId="0" fontId="1" fillId="0" borderId="60" xfId="0" applyFont="1" applyFill="1" applyBorder="1" applyAlignment="1" applyProtection="1">
      <alignment/>
      <protection hidden="1"/>
    </xf>
    <xf numFmtId="0" fontId="1" fillId="0" borderId="111" xfId="0" applyFont="1" applyFill="1" applyBorder="1" applyAlignment="1" applyProtection="1">
      <alignment/>
      <protection hidden="1"/>
    </xf>
    <xf numFmtId="0" fontId="0" fillId="42" borderId="112" xfId="0" applyFill="1" applyBorder="1" applyAlignment="1" applyProtection="1">
      <alignment horizontal="center" vertical="center"/>
      <protection hidden="1"/>
    </xf>
    <xf numFmtId="0" fontId="0" fillId="42" borderId="113" xfId="0" applyFill="1" applyBorder="1" applyAlignment="1" applyProtection="1">
      <alignment horizontal="center" vertical="center"/>
      <protection hidden="1"/>
    </xf>
    <xf numFmtId="0" fontId="0" fillId="42" borderId="114" xfId="0" applyFill="1" applyBorder="1" applyAlignment="1" applyProtection="1">
      <alignment horizontal="center" vertical="center"/>
      <protection hidden="1"/>
    </xf>
    <xf numFmtId="0" fontId="0" fillId="42" borderId="115" xfId="0" applyFill="1" applyBorder="1" applyAlignment="1" applyProtection="1">
      <alignment horizontal="center" vertical="center"/>
      <protection hidden="1"/>
    </xf>
    <xf numFmtId="0" fontId="0" fillId="42" borderId="116" xfId="0" applyFill="1" applyBorder="1" applyAlignment="1" applyProtection="1">
      <alignment horizontal="center" vertical="center"/>
      <protection hidden="1"/>
    </xf>
    <xf numFmtId="182" fontId="3" fillId="0" borderId="61" xfId="0" applyNumberFormat="1" applyFont="1" applyFill="1" applyBorder="1" applyAlignment="1" applyProtection="1">
      <alignment horizontal="center"/>
      <protection hidden="1"/>
    </xf>
    <xf numFmtId="182" fontId="3" fillId="0" borderId="58" xfId="0" applyNumberFormat="1" applyFont="1" applyFill="1" applyBorder="1" applyAlignment="1" applyProtection="1">
      <alignment horizontal="center"/>
      <protection hidden="1"/>
    </xf>
    <xf numFmtId="182" fontId="1" fillId="0" borderId="40" xfId="0" applyNumberFormat="1" applyFont="1" applyFill="1" applyBorder="1" applyAlignment="1" applyProtection="1">
      <alignment horizontal="center"/>
      <protection hidden="1"/>
    </xf>
    <xf numFmtId="182" fontId="1" fillId="0" borderId="117" xfId="0" applyNumberFormat="1" applyFont="1" applyFill="1" applyBorder="1" applyAlignment="1" applyProtection="1">
      <alignment horizontal="center"/>
      <protection hidden="1"/>
    </xf>
    <xf numFmtId="182" fontId="0" fillId="42" borderId="118" xfId="0" applyNumberFormat="1" applyFill="1" applyBorder="1" applyAlignment="1" applyProtection="1">
      <alignment horizontal="center" vertical="center"/>
      <protection hidden="1"/>
    </xf>
    <xf numFmtId="182" fontId="0" fillId="42" borderId="47" xfId="0" applyNumberFormat="1" applyFill="1" applyBorder="1" applyAlignment="1" applyProtection="1">
      <alignment horizontal="center" vertical="center"/>
      <protection hidden="1"/>
    </xf>
    <xf numFmtId="0" fontId="22" fillId="0" borderId="119" xfId="0" applyFont="1" applyFill="1" applyBorder="1" applyAlignment="1" applyProtection="1">
      <alignment horizontal="right"/>
      <protection hidden="1"/>
    </xf>
    <xf numFmtId="0" fontId="22" fillId="0" borderId="56" xfId="0" applyFont="1" applyFill="1" applyBorder="1" applyAlignment="1" applyProtection="1">
      <alignment horizontal="right"/>
      <protection hidden="1"/>
    </xf>
    <xf numFmtId="0" fontId="22" fillId="0" borderId="52" xfId="0" applyFont="1" applyFill="1" applyBorder="1" applyAlignment="1" applyProtection="1">
      <alignment horizontal="right"/>
      <protection hidden="1"/>
    </xf>
    <xf numFmtId="0" fontId="0" fillId="0" borderId="30" xfId="0" applyBorder="1" applyAlignment="1" applyProtection="1">
      <alignment horizontal="center"/>
      <protection hidden="1"/>
    </xf>
    <xf numFmtId="0" fontId="0" fillId="0" borderId="60" xfId="0" applyBorder="1" applyAlignment="1" applyProtection="1">
      <alignment horizontal="left"/>
      <protection hidden="1"/>
    </xf>
    <xf numFmtId="0" fontId="103" fillId="41" borderId="49" xfId="0" applyFont="1" applyFill="1" applyBorder="1" applyAlignment="1" applyProtection="1">
      <alignment horizontal="center" vertical="center" wrapText="1"/>
      <protection hidden="1"/>
    </xf>
    <xf numFmtId="0" fontId="103" fillId="41" borderId="60" xfId="0" applyFont="1" applyFill="1" applyBorder="1" applyAlignment="1" applyProtection="1">
      <alignment horizontal="center" vertical="center" wrapText="1"/>
      <protection hidden="1"/>
    </xf>
    <xf numFmtId="0" fontId="103" fillId="41" borderId="62" xfId="0" applyFont="1" applyFill="1" applyBorder="1" applyAlignment="1" applyProtection="1">
      <alignment horizontal="center" vertical="center" wrapText="1"/>
      <protection hidden="1"/>
    </xf>
    <xf numFmtId="0" fontId="15" fillId="40" borderId="62" xfId="0" applyFont="1" applyFill="1" applyBorder="1" applyAlignment="1" applyProtection="1">
      <alignment horizontal="center" vertical="center" wrapText="1"/>
      <protection hidden="1"/>
    </xf>
    <xf numFmtId="0" fontId="103" fillId="41" borderId="60" xfId="0" applyFont="1" applyFill="1" applyBorder="1" applyAlignment="1" applyProtection="1">
      <alignment horizontal="left" vertical="center"/>
      <protection hidden="1"/>
    </xf>
    <xf numFmtId="0" fontId="103" fillId="41" borderId="62" xfId="0" applyFont="1" applyFill="1" applyBorder="1" applyAlignment="1" applyProtection="1">
      <alignment horizontal="left" vertical="center"/>
      <protection hidden="1"/>
    </xf>
    <xf numFmtId="0" fontId="25" fillId="0" borderId="30" xfId="0" applyFont="1" applyBorder="1" applyAlignment="1" applyProtection="1">
      <alignment horizontal="left"/>
      <protection hidden="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_Data" xfId="53"/>
    <cellStyle name="Normal_Feuil1" xfId="54"/>
    <cellStyle name="Normal_Feuil1 2"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59">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rgb="FFEDF0F3"/>
        </patternFill>
      </fill>
    </dxf>
    <dxf>
      <fill>
        <patternFill>
          <bgColor rgb="FFEDF0F3"/>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indexed="53"/>
        </patternFill>
      </fill>
    </dxf>
    <dxf>
      <fill>
        <patternFill>
          <bgColor rgb="FFFFDDDD"/>
        </patternFill>
      </fill>
    </dxf>
    <dxf>
      <fill>
        <patternFill>
          <bgColor rgb="FFEDF0F3"/>
        </patternFill>
      </fill>
    </dxf>
    <dxf>
      <fill>
        <patternFill>
          <bgColor rgb="FFEDF0F3"/>
        </patternFill>
      </fill>
    </dxf>
    <dxf>
      <fill>
        <patternFill>
          <bgColor rgb="FFFFDDDD"/>
        </patternFill>
      </fill>
    </dxf>
    <dxf>
      <fill>
        <patternFill>
          <bgColor rgb="FFFFDDDD"/>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rgb="FFFFDDDD"/>
        </patternFill>
      </fill>
    </dxf>
    <dxf>
      <font>
        <color indexed="9"/>
      </font>
      <fill>
        <patternFill>
          <bgColor rgb="FFEDF0F3"/>
        </patternFill>
      </fill>
    </dxf>
    <dxf>
      <fill>
        <patternFill>
          <bgColor indexed="5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DDDD"/>
        </patternFill>
      </fill>
    </dxf>
    <dxf>
      <fill>
        <patternFill>
          <bgColor rgb="FFEDF0F3"/>
        </patternFill>
      </fill>
    </dxf>
    <dxf>
      <fill>
        <patternFill>
          <bgColor rgb="FFEDF0F3"/>
        </patternFill>
      </fill>
    </dxf>
    <dxf>
      <fill>
        <patternFill>
          <bgColor rgb="FFEDF0F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mande!A1" /><Relationship Id="rId2" Type="http://schemas.openxmlformats.org/officeDocument/2006/relationships/hyperlink" Target="#'1. Demande'!A1" /><Relationship Id="rId3" Type="http://schemas.openxmlformats.org/officeDocument/2006/relationships/image" Target="../media/image7.png" /><Relationship Id="rId4" Type="http://schemas.openxmlformats.org/officeDocument/2006/relationships/image" Target="../media/image1.png" /><Relationship Id="rId5" Type="http://schemas.openxmlformats.org/officeDocument/2006/relationships/image" Target="../media/image2.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hyperlink" Target="https://transitionenergetique.gouv.qc.ca/fileadmin/medias/pdf/ecoperformance/Guide-EcoPerformance-Bionergies.pdf" TargetMode="External" /><Relationship Id="rId3" Type="http://schemas.openxmlformats.org/officeDocument/2006/relationships/image" Target="../media/image1.png" /><Relationship Id="rId4"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transitionenergetique.gouv.qc.ca/fileadmin/medias/pdf/ecoperformance/Guide-Ecoperformance-Bionergies.pd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42</xdr:row>
      <xdr:rowOff>38100</xdr:rowOff>
    </xdr:from>
    <xdr:to>
      <xdr:col>10</xdr:col>
      <xdr:colOff>19050</xdr:colOff>
      <xdr:row>43</xdr:row>
      <xdr:rowOff>304800</xdr:rowOff>
    </xdr:to>
    <xdr:grpSp>
      <xdr:nvGrpSpPr>
        <xdr:cNvPr id="1" name="Groupe 10">
          <a:hlinkClick r:id="rId1"/>
        </xdr:cNvPr>
        <xdr:cNvGrpSpPr>
          <a:grpSpLocks/>
        </xdr:cNvGrpSpPr>
      </xdr:nvGrpSpPr>
      <xdr:grpSpPr>
        <a:xfrm>
          <a:off x="4943475" y="13773150"/>
          <a:ext cx="2085975" cy="457200"/>
          <a:chOff x="4943474" y="9061507"/>
          <a:chExt cx="2086571" cy="454138"/>
        </a:xfrm>
        <a:solidFill>
          <a:srgbClr val="FFFFFF"/>
        </a:solidFill>
      </xdr:grpSpPr>
      <xdr:sp>
        <xdr:nvSpPr>
          <xdr:cNvPr id="2" name="ZoneTexte 11">
            <a:hlinkClick r:id="rId2"/>
          </xdr:cNvPr>
          <xdr:cNvSpPr txBox="1">
            <a:spLocks noChangeArrowheads="1"/>
          </xdr:cNvSpPr>
        </xdr:nvSpPr>
        <xdr:spPr>
          <a:xfrm>
            <a:off x="4943474" y="9222385"/>
            <a:ext cx="167708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Accédez au</a:t>
            </a:r>
            <a:r>
              <a:rPr lang="en-US" cap="none" sz="1200" b="1" i="0" u="none" baseline="0">
                <a:solidFill>
                  <a:srgbClr val="000000"/>
                </a:solidFill>
                <a:latin typeface="Arial"/>
                <a:ea typeface="Arial"/>
                <a:cs typeface="Arial"/>
              </a:rPr>
              <a:t> formulaire </a:t>
            </a:r>
          </a:p>
        </xdr:txBody>
      </xdr:sp>
      <xdr:pic>
        <xdr:nvPicPr>
          <xdr:cNvPr id="3" name="Graphique 12" descr="Flèche : courbe légère avec un remplissage uni"/>
          <xdr:cNvPicPr preferRelativeResize="1">
            <a:picLocks noChangeAspect="1"/>
          </xdr:cNvPicPr>
        </xdr:nvPicPr>
        <xdr:blipFill>
          <a:blip r:embed="rId3"/>
          <a:stretch>
            <a:fillRect/>
          </a:stretch>
        </xdr:blipFill>
        <xdr:spPr>
          <a:xfrm>
            <a:off x="6630467" y="9061507"/>
            <a:ext cx="399578" cy="454138"/>
          </a:xfrm>
          <a:prstGeom prst="rect">
            <a:avLst/>
          </a:prstGeom>
          <a:noFill/>
          <a:ln w="9525" cmpd="sng">
            <a:noFill/>
          </a:ln>
        </xdr:spPr>
      </xdr:pic>
    </xdr:grpSp>
    <xdr:clientData fPrintsWithSheet="0"/>
  </xdr:twoCellAnchor>
  <xdr:oneCellAnchor>
    <xdr:from>
      <xdr:col>3</xdr:col>
      <xdr:colOff>276225</xdr:colOff>
      <xdr:row>0</xdr:row>
      <xdr:rowOff>0</xdr:rowOff>
    </xdr:from>
    <xdr:ext cx="5048250" cy="819150"/>
    <xdr:sp>
      <xdr:nvSpPr>
        <xdr:cNvPr id="4" name="ZoneTexte 13"/>
        <xdr:cNvSpPr txBox="1">
          <a:spLocks noChangeArrowheads="1"/>
        </xdr:cNvSpPr>
      </xdr:nvSpPr>
      <xdr:spPr>
        <a:xfrm>
          <a:off x="1952625" y="0"/>
          <a:ext cx="504825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ÉcoPerformance</a:t>
          </a:r>
        </a:p>
      </xdr:txBody>
    </xdr:sp>
    <xdr:clientData/>
  </xdr:oneCellAnchor>
  <xdr:twoCellAnchor editAs="oneCell">
    <xdr:from>
      <xdr:col>0</xdr:col>
      <xdr:colOff>0</xdr:colOff>
      <xdr:row>0</xdr:row>
      <xdr:rowOff>0</xdr:rowOff>
    </xdr:from>
    <xdr:to>
      <xdr:col>3</xdr:col>
      <xdr:colOff>190500</xdr:colOff>
      <xdr:row>0</xdr:row>
      <xdr:rowOff>981075</xdr:rowOff>
    </xdr:to>
    <xdr:pic macro="[0]!macro100">
      <xdr:nvPicPr>
        <xdr:cNvPr id="5" name="Image 22"/>
        <xdr:cNvPicPr preferRelativeResize="1">
          <a:picLocks noChangeAspect="1"/>
        </xdr:cNvPicPr>
      </xdr:nvPicPr>
      <xdr:blipFill>
        <a:blip r:embed="rId4"/>
        <a:stretch>
          <a:fillRect/>
        </a:stretch>
      </xdr:blipFill>
      <xdr:spPr>
        <a:xfrm>
          <a:off x="0" y="0"/>
          <a:ext cx="1866900" cy="981075"/>
        </a:xfrm>
        <a:prstGeom prst="rect">
          <a:avLst/>
        </a:prstGeom>
        <a:noFill/>
        <a:ln w="9525" cmpd="sng">
          <a:noFill/>
        </a:ln>
      </xdr:spPr>
    </xdr:pic>
    <xdr:clientData/>
  </xdr:twoCellAnchor>
  <xdr:twoCellAnchor editAs="oneCell">
    <xdr:from>
      <xdr:col>1</xdr:col>
      <xdr:colOff>38100</xdr:colOff>
      <xdr:row>23</xdr:row>
      <xdr:rowOff>0</xdr:rowOff>
    </xdr:from>
    <xdr:to>
      <xdr:col>7</xdr:col>
      <xdr:colOff>381000</xdr:colOff>
      <xdr:row>24</xdr:row>
      <xdr:rowOff>0</xdr:rowOff>
    </xdr:to>
    <xdr:pic>
      <xdr:nvPicPr>
        <xdr:cNvPr id="6" name="Image 7"/>
        <xdr:cNvPicPr preferRelativeResize="1">
          <a:picLocks noChangeAspect="1"/>
        </xdr:cNvPicPr>
      </xdr:nvPicPr>
      <xdr:blipFill>
        <a:blip r:embed="rId5"/>
        <a:stretch>
          <a:fillRect/>
        </a:stretch>
      </xdr:blipFill>
      <xdr:spPr>
        <a:xfrm>
          <a:off x="190500" y="9448800"/>
          <a:ext cx="4914900" cy="323850"/>
        </a:xfrm>
        <a:prstGeom prst="rect">
          <a:avLst/>
        </a:prstGeom>
        <a:noFill/>
        <a:ln w="9525" cmpd="sng">
          <a:noFill/>
        </a:ln>
      </xdr:spPr>
    </xdr:pic>
    <xdr:clientData/>
  </xdr:twoCellAnchor>
  <xdr:oneCellAnchor>
    <xdr:from>
      <xdr:col>1</xdr:col>
      <xdr:colOff>95250</xdr:colOff>
      <xdr:row>19</xdr:row>
      <xdr:rowOff>38100</xdr:rowOff>
    </xdr:from>
    <xdr:ext cx="6734175" cy="1762125"/>
    <xdr:grpSp>
      <xdr:nvGrpSpPr>
        <xdr:cNvPr id="7" name="Groupe 23"/>
        <xdr:cNvGrpSpPr>
          <a:grpSpLocks/>
        </xdr:cNvGrpSpPr>
      </xdr:nvGrpSpPr>
      <xdr:grpSpPr>
        <a:xfrm>
          <a:off x="247650" y="7258050"/>
          <a:ext cx="6734175" cy="1762125"/>
          <a:chOff x="-6874494" y="5706812"/>
          <a:chExt cx="5797941" cy="1521173"/>
        </a:xfrm>
        <a:solidFill>
          <a:srgbClr val="FFFFFF"/>
        </a:solidFill>
      </xdr:grpSpPr>
      <xdr:pic>
        <xdr:nvPicPr>
          <xdr:cNvPr id="8" name="Image 30"/>
          <xdr:cNvPicPr preferRelativeResize="1">
            <a:picLocks noChangeAspect="1"/>
          </xdr:cNvPicPr>
        </xdr:nvPicPr>
        <xdr:blipFill>
          <a:blip r:embed="rId6"/>
          <a:stretch>
            <a:fillRect/>
          </a:stretch>
        </xdr:blipFill>
        <xdr:spPr>
          <a:xfrm>
            <a:off x="-6874494" y="5621247"/>
            <a:ext cx="5897955" cy="1607119"/>
          </a:xfrm>
          <a:prstGeom prst="rect">
            <a:avLst/>
          </a:prstGeom>
          <a:noFill/>
          <a:ln w="9525" cmpd="sng">
            <a:noFill/>
          </a:ln>
        </xdr:spPr>
      </xdr:pic>
      <xdr:sp>
        <xdr:nvSpPr>
          <xdr:cNvPr id="9" name="Connecteur droit 31"/>
          <xdr:cNvSpPr>
            <a:spLocks/>
          </xdr:cNvSpPr>
        </xdr:nvSpPr>
        <xdr:spPr>
          <a:xfrm>
            <a:off x="-5980162" y="6117148"/>
            <a:ext cx="94361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104775</xdr:colOff>
      <xdr:row>31</xdr:row>
      <xdr:rowOff>47625</xdr:rowOff>
    </xdr:from>
    <xdr:ext cx="3629025" cy="1543050"/>
    <xdr:grpSp>
      <xdr:nvGrpSpPr>
        <xdr:cNvPr id="10" name="Groupe 28"/>
        <xdr:cNvGrpSpPr>
          <a:grpSpLocks/>
        </xdr:cNvGrpSpPr>
      </xdr:nvGrpSpPr>
      <xdr:grpSpPr>
        <a:xfrm>
          <a:off x="257175" y="11487150"/>
          <a:ext cx="3629025" cy="1543050"/>
          <a:chOff x="144779" y="7078379"/>
          <a:chExt cx="3635192" cy="1555565"/>
        </a:xfrm>
        <a:solidFill>
          <a:srgbClr val="FFFFFF"/>
        </a:solidFill>
      </xdr:grpSpPr>
      <xdr:pic>
        <xdr:nvPicPr>
          <xdr:cNvPr id="11" name="Image 33"/>
          <xdr:cNvPicPr preferRelativeResize="1">
            <a:picLocks noChangeAspect="1"/>
          </xdr:cNvPicPr>
        </xdr:nvPicPr>
        <xdr:blipFill>
          <a:blip r:embed="rId7"/>
          <a:stretch>
            <a:fillRect/>
          </a:stretch>
        </xdr:blipFill>
        <xdr:spPr>
          <a:xfrm>
            <a:off x="144779" y="6983879"/>
            <a:ext cx="3748792" cy="1650454"/>
          </a:xfrm>
          <a:prstGeom prst="rect">
            <a:avLst/>
          </a:prstGeom>
          <a:noFill/>
          <a:ln w="9525" cmpd="sng">
            <a:noFill/>
          </a:ln>
        </xdr:spPr>
      </xdr:pic>
      <xdr:sp>
        <xdr:nvSpPr>
          <xdr:cNvPr id="12" name="Rectangle 34"/>
          <xdr:cNvSpPr>
            <a:spLocks/>
          </xdr:cNvSpPr>
        </xdr:nvSpPr>
        <xdr:spPr>
          <a:xfrm>
            <a:off x="736406" y="7899328"/>
            <a:ext cx="295359" cy="315002"/>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57150</xdr:colOff>
      <xdr:row>7</xdr:row>
      <xdr:rowOff>0</xdr:rowOff>
    </xdr:from>
    <xdr:to>
      <xdr:col>8</xdr:col>
      <xdr:colOff>438150</xdr:colOff>
      <xdr:row>8</xdr:row>
      <xdr:rowOff>0</xdr:rowOff>
    </xdr:to>
    <xdr:pic>
      <xdr:nvPicPr>
        <xdr:cNvPr id="13" name="Image 4"/>
        <xdr:cNvPicPr preferRelativeResize="1">
          <a:picLocks noChangeAspect="1"/>
        </xdr:cNvPicPr>
      </xdr:nvPicPr>
      <xdr:blipFill>
        <a:blip r:embed="rId8"/>
        <a:srcRect l="1762" t="22152" r="3590" b="29385"/>
        <a:stretch>
          <a:fillRect/>
        </a:stretch>
      </xdr:blipFill>
      <xdr:spPr>
        <a:xfrm>
          <a:off x="209550" y="2143125"/>
          <a:ext cx="5715000" cy="200025"/>
        </a:xfrm>
        <a:prstGeom prst="rect">
          <a:avLst/>
        </a:prstGeom>
        <a:noFill/>
        <a:ln w="9525" cmpd="sng">
          <a:noFill/>
        </a:ln>
      </xdr:spPr>
    </xdr:pic>
    <xdr:clientData/>
  </xdr:twoCellAnchor>
  <xdr:twoCellAnchor editAs="oneCell">
    <xdr:from>
      <xdr:col>1</xdr:col>
      <xdr:colOff>152400</xdr:colOff>
      <xdr:row>11</xdr:row>
      <xdr:rowOff>0</xdr:rowOff>
    </xdr:from>
    <xdr:to>
      <xdr:col>4</xdr:col>
      <xdr:colOff>447675</xdr:colOff>
      <xdr:row>11</xdr:row>
      <xdr:rowOff>2790825</xdr:rowOff>
    </xdr:to>
    <xdr:pic>
      <xdr:nvPicPr>
        <xdr:cNvPr id="14" name="Image 3"/>
        <xdr:cNvPicPr preferRelativeResize="1">
          <a:picLocks noChangeAspect="1"/>
        </xdr:cNvPicPr>
      </xdr:nvPicPr>
      <xdr:blipFill>
        <a:blip r:embed="rId9"/>
        <a:stretch>
          <a:fillRect/>
        </a:stretch>
      </xdr:blipFill>
      <xdr:spPr>
        <a:xfrm>
          <a:off x="304800" y="2819400"/>
          <a:ext cx="2581275" cy="279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31</xdr:row>
      <xdr:rowOff>0</xdr:rowOff>
    </xdr:from>
    <xdr:to>
      <xdr:col>36</xdr:col>
      <xdr:colOff>123825</xdr:colOff>
      <xdr:row>31</xdr:row>
      <xdr:rowOff>0</xdr:rowOff>
    </xdr:to>
    <xdr:sp>
      <xdr:nvSpPr>
        <xdr:cNvPr id="1" name="Rectangle 1" hidden="1"/>
        <xdr:cNvSpPr>
          <a:spLocks/>
        </xdr:cNvSpPr>
      </xdr:nvSpPr>
      <xdr:spPr>
        <a:xfrm>
          <a:off x="6038850" y="4876800"/>
          <a:ext cx="1609725"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80</xdr:row>
      <xdr:rowOff>0</xdr:rowOff>
    </xdr:from>
    <xdr:to>
      <xdr:col>21</xdr:col>
      <xdr:colOff>85725</xdr:colOff>
      <xdr:row>80</xdr:row>
      <xdr:rowOff>0</xdr:rowOff>
    </xdr:to>
    <xdr:sp>
      <xdr:nvSpPr>
        <xdr:cNvPr id="2" name="Line 2"/>
        <xdr:cNvSpPr>
          <a:spLocks/>
        </xdr:cNvSpPr>
      </xdr:nvSpPr>
      <xdr:spPr>
        <a:xfrm>
          <a:off x="428625" y="10553700"/>
          <a:ext cx="4238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80</xdr:row>
      <xdr:rowOff>0</xdr:rowOff>
    </xdr:from>
    <xdr:to>
      <xdr:col>43</xdr:col>
      <xdr:colOff>57150</xdr:colOff>
      <xdr:row>80</xdr:row>
      <xdr:rowOff>0</xdr:rowOff>
    </xdr:to>
    <xdr:sp>
      <xdr:nvSpPr>
        <xdr:cNvPr id="3" name="Line 3"/>
        <xdr:cNvSpPr>
          <a:spLocks/>
        </xdr:cNvSpPr>
      </xdr:nvSpPr>
      <xdr:spPr>
        <a:xfrm>
          <a:off x="5200650" y="10553700"/>
          <a:ext cx="404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80</xdr:row>
      <xdr:rowOff>0</xdr:rowOff>
    </xdr:from>
    <xdr:to>
      <xdr:col>7</xdr:col>
      <xdr:colOff>142875</xdr:colOff>
      <xdr:row>80</xdr:row>
      <xdr:rowOff>0</xdr:rowOff>
    </xdr:to>
    <xdr:sp>
      <xdr:nvSpPr>
        <xdr:cNvPr id="4" name="Line 4"/>
        <xdr:cNvSpPr>
          <a:spLocks/>
        </xdr:cNvSpPr>
      </xdr:nvSpPr>
      <xdr:spPr>
        <a:xfrm>
          <a:off x="1514475" y="10553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0</xdr:rowOff>
    </xdr:from>
    <xdr:to>
      <xdr:col>7</xdr:col>
      <xdr:colOff>85725</xdr:colOff>
      <xdr:row>5</xdr:row>
      <xdr:rowOff>0</xdr:rowOff>
    </xdr:to>
    <xdr:sp>
      <xdr:nvSpPr>
        <xdr:cNvPr id="5" name="Text Box 33"/>
        <xdr:cNvSpPr txBox="1">
          <a:spLocks noChangeArrowheads="1"/>
        </xdr:cNvSpPr>
      </xdr:nvSpPr>
      <xdr:spPr>
        <a:xfrm>
          <a:off x="685800" y="1438275"/>
          <a:ext cx="7715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oneCellAnchor>
    <xdr:from>
      <xdr:col>16</xdr:col>
      <xdr:colOff>95250</xdr:colOff>
      <xdr:row>324</xdr:row>
      <xdr:rowOff>0</xdr:rowOff>
    </xdr:from>
    <xdr:ext cx="142875" cy="238125"/>
    <xdr:sp fLocksText="0">
      <xdr:nvSpPr>
        <xdr:cNvPr id="6" name="Text Box 290"/>
        <xdr:cNvSpPr txBox="1">
          <a:spLocks noChangeArrowheads="1"/>
        </xdr:cNvSpPr>
      </xdr:nvSpPr>
      <xdr:spPr>
        <a:xfrm>
          <a:off x="3552825" y="22098000"/>
          <a:ext cx="1428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45</xdr:col>
      <xdr:colOff>0</xdr:colOff>
      <xdr:row>16</xdr:row>
      <xdr:rowOff>85725</xdr:rowOff>
    </xdr:from>
    <xdr:to>
      <xdr:col>61</xdr:col>
      <xdr:colOff>733425</xdr:colOff>
      <xdr:row>17</xdr:row>
      <xdr:rowOff>352425</xdr:rowOff>
    </xdr:to>
    <xdr:sp fLocksText="0" textlink="$D$18">
      <xdr:nvSpPr>
        <xdr:cNvPr id="7" name="Descriptif_Organisme" hidden="1"/>
        <xdr:cNvSpPr txBox="1">
          <a:spLocks noChangeArrowheads="1"/>
        </xdr:cNvSpPr>
      </xdr:nvSpPr>
      <xdr:spPr>
        <a:xfrm>
          <a:off x="9572625" y="3124200"/>
          <a:ext cx="8658225" cy="428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1f9fb372-6c2b-4397-b11e-ee36ea8cc44a}" type="TxLink">
            <a:rPr lang="en-US" cap="none" sz="1000" b="0" i="0" u="none" baseline="0">
              <a:solidFill>
                <a:srgbClr val="000000"/>
              </a:solidFill>
              <a:latin typeface="Arial"/>
              <a:ea typeface="Arial"/>
              <a:cs typeface="Arial"/>
            </a:rPr>
            <a:t> </a:t>
          </a:fld>
        </a:p>
      </xdr:txBody>
    </xdr:sp>
    <xdr:clientData fLocksWithSheet="0"/>
  </xdr:twoCellAnchor>
  <xdr:twoCellAnchor>
    <xdr:from>
      <xdr:col>46</xdr:col>
      <xdr:colOff>0</xdr:colOff>
      <xdr:row>114</xdr:row>
      <xdr:rowOff>133350</xdr:rowOff>
    </xdr:from>
    <xdr:to>
      <xdr:col>62</xdr:col>
      <xdr:colOff>219075</xdr:colOff>
      <xdr:row>119</xdr:row>
      <xdr:rowOff>123825</xdr:rowOff>
    </xdr:to>
    <xdr:sp fLocksText="0" textlink="$D$116">
      <xdr:nvSpPr>
        <xdr:cNvPr id="8" name="Descriptif_Projet" hidden="1"/>
        <xdr:cNvSpPr txBox="1">
          <a:spLocks noChangeArrowheads="1"/>
        </xdr:cNvSpPr>
      </xdr:nvSpPr>
      <xdr:spPr>
        <a:xfrm>
          <a:off x="9801225" y="13211175"/>
          <a:ext cx="8677275" cy="800100"/>
        </a:xfrm>
        <a:prstGeom prst="rect">
          <a:avLst/>
        </a:prstGeom>
        <a:solidFill>
          <a:srgbClr val="FFFFCC"/>
        </a:solidFill>
        <a:ln w="9525" cmpd="sng">
          <a:solidFill>
            <a:srgbClr val="000000"/>
          </a:solidFill>
          <a:headEnd type="none"/>
          <a:tailEnd type="none"/>
        </a:ln>
      </xdr:spPr>
      <xdr:txBody>
        <a:bodyPr vertOverflow="clip" wrap="square"/>
        <a:p>
          <a:pPr algn="l">
            <a:defRPr/>
          </a:pPr>
          <a:fld id="{e02e8fe2-4487-4090-84bc-dcd7490d67ac}" type="TxLink">
            <a:rPr lang="en-US" cap="none" sz="1000" b="0" i="0" u="none" baseline="0">
              <a:solidFill>
                <a:srgbClr val="000000"/>
              </a:solidFill>
              <a:latin typeface="Arial"/>
              <a:ea typeface="Arial"/>
              <a:cs typeface="Arial"/>
            </a:rPr>
            <a:t> </a:t>
          </a:fld>
        </a:p>
      </xdr:txBody>
    </xdr:sp>
    <xdr:clientData fLocksWithSheet="0"/>
  </xdr:twoCellAnchor>
  <xdr:twoCellAnchor>
    <xdr:from>
      <xdr:col>3</xdr:col>
      <xdr:colOff>0</xdr:colOff>
      <xdr:row>121</xdr:row>
      <xdr:rowOff>0</xdr:rowOff>
    </xdr:from>
    <xdr:to>
      <xdr:col>43</xdr:col>
      <xdr:colOff>38100</xdr:colOff>
      <xdr:row>121</xdr:row>
      <xdr:rowOff>0</xdr:rowOff>
    </xdr:to>
    <xdr:sp fLocksText="0">
      <xdr:nvSpPr>
        <xdr:cNvPr id="9" name="Text Box 395"/>
        <xdr:cNvSpPr txBox="1">
          <a:spLocks noChangeArrowheads="1"/>
        </xdr:cNvSpPr>
      </xdr:nvSpPr>
      <xdr:spPr>
        <a:xfrm>
          <a:off x="428625" y="14077950"/>
          <a:ext cx="88011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57150</xdr:colOff>
      <xdr:row>131</xdr:row>
      <xdr:rowOff>57150</xdr:rowOff>
    </xdr:from>
    <xdr:to>
      <xdr:col>6</xdr:col>
      <xdr:colOff>228600</xdr:colOff>
      <xdr:row>138</xdr:row>
      <xdr:rowOff>57150</xdr:rowOff>
    </xdr:to>
    <xdr:sp>
      <xdr:nvSpPr>
        <xdr:cNvPr id="10" name="AutoShape 434" hidden="1"/>
        <xdr:cNvSpPr>
          <a:spLocks/>
        </xdr:cNvSpPr>
      </xdr:nvSpPr>
      <xdr:spPr>
        <a:xfrm>
          <a:off x="1200150" y="14077950"/>
          <a:ext cx="171450" cy="0"/>
        </a:xfrm>
        <a:prstGeom prst="leftBrace">
          <a:avLst>
            <a:gd name="adj" fmla="val -2147483648"/>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226</xdr:row>
      <xdr:rowOff>0</xdr:rowOff>
    </xdr:from>
    <xdr:to>
      <xdr:col>21</xdr:col>
      <xdr:colOff>85725</xdr:colOff>
      <xdr:row>226</xdr:row>
      <xdr:rowOff>0</xdr:rowOff>
    </xdr:to>
    <xdr:sp>
      <xdr:nvSpPr>
        <xdr:cNvPr id="11" name="Line 2"/>
        <xdr:cNvSpPr>
          <a:spLocks/>
        </xdr:cNvSpPr>
      </xdr:nvSpPr>
      <xdr:spPr>
        <a:xfrm>
          <a:off x="428625" y="22098000"/>
          <a:ext cx="4238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226</xdr:row>
      <xdr:rowOff>0</xdr:rowOff>
    </xdr:from>
    <xdr:to>
      <xdr:col>43</xdr:col>
      <xdr:colOff>57150</xdr:colOff>
      <xdr:row>226</xdr:row>
      <xdr:rowOff>0</xdr:rowOff>
    </xdr:to>
    <xdr:sp>
      <xdr:nvSpPr>
        <xdr:cNvPr id="12" name="Line 3"/>
        <xdr:cNvSpPr>
          <a:spLocks/>
        </xdr:cNvSpPr>
      </xdr:nvSpPr>
      <xdr:spPr>
        <a:xfrm>
          <a:off x="5200650" y="22098000"/>
          <a:ext cx="404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226</xdr:row>
      <xdr:rowOff>0</xdr:rowOff>
    </xdr:from>
    <xdr:to>
      <xdr:col>7</xdr:col>
      <xdr:colOff>142875</xdr:colOff>
      <xdr:row>226</xdr:row>
      <xdr:rowOff>0</xdr:rowOff>
    </xdr:to>
    <xdr:sp>
      <xdr:nvSpPr>
        <xdr:cNvPr id="13" name="Line 4"/>
        <xdr:cNvSpPr>
          <a:spLocks/>
        </xdr:cNvSpPr>
      </xdr:nvSpPr>
      <xdr:spPr>
        <a:xfrm>
          <a:off x="1514475" y="220980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226</xdr:row>
      <xdr:rowOff>0</xdr:rowOff>
    </xdr:from>
    <xdr:to>
      <xdr:col>8</xdr:col>
      <xdr:colOff>142875</xdr:colOff>
      <xdr:row>226</xdr:row>
      <xdr:rowOff>0</xdr:rowOff>
    </xdr:to>
    <xdr:sp>
      <xdr:nvSpPr>
        <xdr:cNvPr id="14" name="Line 4"/>
        <xdr:cNvSpPr>
          <a:spLocks/>
        </xdr:cNvSpPr>
      </xdr:nvSpPr>
      <xdr:spPr>
        <a:xfrm>
          <a:off x="1743075" y="220980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142875</xdr:colOff>
      <xdr:row>226</xdr:row>
      <xdr:rowOff>0</xdr:rowOff>
    </xdr:from>
    <xdr:to>
      <xdr:col>44</xdr:col>
      <xdr:colOff>19050</xdr:colOff>
      <xdr:row>226</xdr:row>
      <xdr:rowOff>0</xdr:rowOff>
    </xdr:to>
    <xdr:sp>
      <xdr:nvSpPr>
        <xdr:cNvPr id="15" name="Text Box 46"/>
        <xdr:cNvSpPr txBox="1">
          <a:spLocks noChangeArrowheads="1"/>
        </xdr:cNvSpPr>
      </xdr:nvSpPr>
      <xdr:spPr>
        <a:xfrm>
          <a:off x="8353425" y="22098000"/>
          <a:ext cx="1009650"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(PRCML seulement)</a:t>
          </a:r>
        </a:p>
      </xdr:txBody>
    </xdr:sp>
    <xdr:clientData/>
  </xdr:twoCellAnchor>
  <xdr:twoCellAnchor>
    <xdr:from>
      <xdr:col>45</xdr:col>
      <xdr:colOff>76200</xdr:colOff>
      <xdr:row>78</xdr:row>
      <xdr:rowOff>123825</xdr:rowOff>
    </xdr:from>
    <xdr:to>
      <xdr:col>62</xdr:col>
      <xdr:colOff>66675</xdr:colOff>
      <xdr:row>79</xdr:row>
      <xdr:rowOff>542925</xdr:rowOff>
    </xdr:to>
    <xdr:sp fLocksText="0" textlink="$D$80">
      <xdr:nvSpPr>
        <xdr:cNvPr id="16" name="Descriptif_Site" hidden="1"/>
        <xdr:cNvSpPr txBox="1">
          <a:spLocks noChangeArrowheads="1"/>
        </xdr:cNvSpPr>
      </xdr:nvSpPr>
      <xdr:spPr>
        <a:xfrm>
          <a:off x="9648825" y="9915525"/>
          <a:ext cx="8677275" cy="581025"/>
        </a:xfrm>
        <a:prstGeom prst="rect">
          <a:avLst/>
        </a:prstGeom>
        <a:solidFill>
          <a:srgbClr val="FFFFCC"/>
        </a:solidFill>
        <a:ln w="9525" cmpd="sng">
          <a:solidFill>
            <a:srgbClr val="000000"/>
          </a:solidFill>
          <a:headEnd type="none"/>
          <a:tailEnd type="none"/>
        </a:ln>
      </xdr:spPr>
      <xdr:txBody>
        <a:bodyPr vertOverflow="clip" wrap="square"/>
        <a:p>
          <a:pPr algn="l">
            <a:defRPr/>
          </a:pPr>
          <a:fld id="{6ebac132-552e-41c7-a864-b95d8b8f639f}" type="TxLink">
            <a:rPr lang="en-US" cap="none" sz="1000" b="0" i="0" u="none" baseline="0">
              <a:solidFill>
                <a:srgbClr val="000000"/>
              </a:solidFill>
              <a:latin typeface="Arial"/>
              <a:ea typeface="Arial"/>
              <a:cs typeface="Arial"/>
            </a:rPr>
            <a:t> </a:t>
          </a:fld>
        </a:p>
      </xdr:txBody>
    </xdr:sp>
    <xdr:clientData fLocksWithSheet="0"/>
  </xdr:twoCellAnchor>
  <xdr:oneCellAnchor>
    <xdr:from>
      <xdr:col>3</xdr:col>
      <xdr:colOff>114300</xdr:colOff>
      <xdr:row>201</xdr:row>
      <xdr:rowOff>0</xdr:rowOff>
    </xdr:from>
    <xdr:ext cx="8620125" cy="390525"/>
    <xdr:sp>
      <xdr:nvSpPr>
        <xdr:cNvPr id="17" name="AutoriseTRDons" hidden="1"/>
        <xdr:cNvSpPr txBox="1">
          <a:spLocks noChangeArrowheads="1"/>
        </xdr:cNvSpPr>
      </xdr:nvSpPr>
      <xdr:spPr>
        <a:xfrm>
          <a:off x="542925" y="19145250"/>
          <a:ext cx="8620125" cy="3905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a:t>
          </a:r>
        </a:p>
      </xdr:txBody>
    </xdr:sp>
    <xdr:clientData/>
  </xdr:oneCellAnchor>
  <xdr:twoCellAnchor>
    <xdr:from>
      <xdr:col>3</xdr:col>
      <xdr:colOff>38100</xdr:colOff>
      <xdr:row>214</xdr:row>
      <xdr:rowOff>28575</xdr:rowOff>
    </xdr:from>
    <xdr:to>
      <xdr:col>20</xdr:col>
      <xdr:colOff>38100</xdr:colOff>
      <xdr:row>219</xdr:row>
      <xdr:rowOff>38100</xdr:rowOff>
    </xdr:to>
    <xdr:sp>
      <xdr:nvSpPr>
        <xdr:cNvPr id="18" name="ZoneTexte 5"/>
        <xdr:cNvSpPr txBox="1">
          <a:spLocks noChangeArrowheads="1"/>
        </xdr:cNvSpPr>
      </xdr:nvSpPr>
      <xdr:spPr>
        <a:xfrm>
          <a:off x="466725" y="20354925"/>
          <a:ext cx="392430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 : </a:t>
          </a:r>
          <a:r>
            <a:rPr lang="en-US" cap="none" sz="1000" b="0" i="0" u="none" baseline="0">
              <a:solidFill>
                <a:srgbClr val="000000"/>
              </a:solidFill>
              <a:latin typeface="Arial"/>
              <a:ea typeface="Arial"/>
              <a:cs typeface="Arial"/>
            </a:rPr>
            <a:t>Ces documents sont obligatoires à l'ouverture du dossier.
À défaut de les fournir, des délais seront occasionnés.
D'autres</a:t>
          </a:r>
          <a:r>
            <a:rPr lang="en-US" cap="none" sz="1000" b="0" i="0" u="none" baseline="0">
              <a:solidFill>
                <a:srgbClr val="000000"/>
              </a:solidFill>
              <a:latin typeface="Arial"/>
              <a:ea typeface="Arial"/>
              <a:cs typeface="Arial"/>
            </a:rPr>
            <a:t> documents pourront être exigés lors de l'analyse.</a:t>
          </a:r>
        </a:p>
      </xdr:txBody>
    </xdr:sp>
    <xdr:clientData/>
  </xdr:twoCellAnchor>
  <xdr:twoCellAnchor>
    <xdr:from>
      <xdr:col>30</xdr:col>
      <xdr:colOff>19050</xdr:colOff>
      <xdr:row>163</xdr:row>
      <xdr:rowOff>0</xdr:rowOff>
    </xdr:from>
    <xdr:to>
      <xdr:col>43</xdr:col>
      <xdr:colOff>47625</xdr:colOff>
      <xdr:row>172</xdr:row>
      <xdr:rowOff>28575</xdr:rowOff>
    </xdr:to>
    <xdr:sp>
      <xdr:nvSpPr>
        <xdr:cNvPr id="19" name="Rectangle 2" hidden="1"/>
        <xdr:cNvSpPr>
          <a:spLocks/>
        </xdr:cNvSpPr>
      </xdr:nvSpPr>
      <xdr:spPr>
        <a:xfrm>
          <a:off x="6362700" y="14135100"/>
          <a:ext cx="2876550" cy="14859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105</xdr:row>
      <xdr:rowOff>28575</xdr:rowOff>
    </xdr:from>
    <xdr:to>
      <xdr:col>31</xdr:col>
      <xdr:colOff>47625</xdr:colOff>
      <xdr:row>108</xdr:row>
      <xdr:rowOff>19050</xdr:rowOff>
    </xdr:to>
    <xdr:sp>
      <xdr:nvSpPr>
        <xdr:cNvPr id="20" name="Rectangle 3" hidden="1"/>
        <xdr:cNvSpPr>
          <a:spLocks/>
        </xdr:cNvSpPr>
      </xdr:nvSpPr>
      <xdr:spPr>
        <a:xfrm>
          <a:off x="4124325" y="12677775"/>
          <a:ext cx="2495550" cy="3524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204</xdr:row>
      <xdr:rowOff>85725</xdr:rowOff>
    </xdr:from>
    <xdr:to>
      <xdr:col>3</xdr:col>
      <xdr:colOff>95250</xdr:colOff>
      <xdr:row>204</xdr:row>
      <xdr:rowOff>114300</xdr:rowOff>
    </xdr:to>
    <xdr:sp>
      <xdr:nvSpPr>
        <xdr:cNvPr id="21" name="Ellipse 1"/>
        <xdr:cNvSpPr>
          <a:spLocks/>
        </xdr:cNvSpPr>
      </xdr:nvSpPr>
      <xdr:spPr>
        <a:xfrm>
          <a:off x="485775" y="19459575"/>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206</xdr:row>
      <xdr:rowOff>85725</xdr:rowOff>
    </xdr:from>
    <xdr:to>
      <xdr:col>3</xdr:col>
      <xdr:colOff>95250</xdr:colOff>
      <xdr:row>206</xdr:row>
      <xdr:rowOff>114300</xdr:rowOff>
    </xdr:to>
    <xdr:sp>
      <xdr:nvSpPr>
        <xdr:cNvPr id="22" name="Ellipse 4" hidden="1"/>
        <xdr:cNvSpPr>
          <a:spLocks/>
        </xdr:cNvSpPr>
      </xdr:nvSpPr>
      <xdr:spPr>
        <a:xfrm>
          <a:off x="485775" y="19650075"/>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208</xdr:row>
      <xdr:rowOff>76200</xdr:rowOff>
    </xdr:from>
    <xdr:to>
      <xdr:col>3</xdr:col>
      <xdr:colOff>95250</xdr:colOff>
      <xdr:row>208</xdr:row>
      <xdr:rowOff>114300</xdr:rowOff>
    </xdr:to>
    <xdr:sp>
      <xdr:nvSpPr>
        <xdr:cNvPr id="23" name="Ellipse 6" hidden="1"/>
        <xdr:cNvSpPr>
          <a:spLocks/>
        </xdr:cNvSpPr>
      </xdr:nvSpPr>
      <xdr:spPr>
        <a:xfrm>
          <a:off x="485775" y="198310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204</xdr:row>
      <xdr:rowOff>66675</xdr:rowOff>
    </xdr:from>
    <xdr:to>
      <xdr:col>25</xdr:col>
      <xdr:colOff>38100</xdr:colOff>
      <xdr:row>204</xdr:row>
      <xdr:rowOff>104775</xdr:rowOff>
    </xdr:to>
    <xdr:sp>
      <xdr:nvSpPr>
        <xdr:cNvPr id="24" name="Ellipse 7"/>
        <xdr:cNvSpPr>
          <a:spLocks/>
        </xdr:cNvSpPr>
      </xdr:nvSpPr>
      <xdr:spPr>
        <a:xfrm>
          <a:off x="5191125" y="194405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206</xdr:row>
      <xdr:rowOff>66675</xdr:rowOff>
    </xdr:from>
    <xdr:to>
      <xdr:col>25</xdr:col>
      <xdr:colOff>38100</xdr:colOff>
      <xdr:row>206</xdr:row>
      <xdr:rowOff>104775</xdr:rowOff>
    </xdr:to>
    <xdr:sp>
      <xdr:nvSpPr>
        <xdr:cNvPr id="25" name="Ellipse 8"/>
        <xdr:cNvSpPr>
          <a:spLocks/>
        </xdr:cNvSpPr>
      </xdr:nvSpPr>
      <xdr:spPr>
        <a:xfrm>
          <a:off x="5191125" y="196310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208</xdr:row>
      <xdr:rowOff>66675</xdr:rowOff>
    </xdr:from>
    <xdr:to>
      <xdr:col>25</xdr:col>
      <xdr:colOff>38100</xdr:colOff>
      <xdr:row>208</xdr:row>
      <xdr:rowOff>104775</xdr:rowOff>
    </xdr:to>
    <xdr:sp>
      <xdr:nvSpPr>
        <xdr:cNvPr id="26" name="Ellipse 9"/>
        <xdr:cNvSpPr>
          <a:spLocks/>
        </xdr:cNvSpPr>
      </xdr:nvSpPr>
      <xdr:spPr>
        <a:xfrm>
          <a:off x="5191125" y="198215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210</xdr:row>
      <xdr:rowOff>76200</xdr:rowOff>
    </xdr:from>
    <xdr:to>
      <xdr:col>25</xdr:col>
      <xdr:colOff>38100</xdr:colOff>
      <xdr:row>210</xdr:row>
      <xdr:rowOff>104775</xdr:rowOff>
    </xdr:to>
    <xdr:sp>
      <xdr:nvSpPr>
        <xdr:cNvPr id="27" name="Ellipse 10"/>
        <xdr:cNvSpPr>
          <a:spLocks/>
        </xdr:cNvSpPr>
      </xdr:nvSpPr>
      <xdr:spPr>
        <a:xfrm>
          <a:off x="5191125" y="20021550"/>
          <a:ext cx="47625"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204</xdr:row>
      <xdr:rowOff>76200</xdr:rowOff>
    </xdr:from>
    <xdr:to>
      <xdr:col>35</xdr:col>
      <xdr:colOff>47625</xdr:colOff>
      <xdr:row>204</xdr:row>
      <xdr:rowOff>114300</xdr:rowOff>
    </xdr:to>
    <xdr:sp>
      <xdr:nvSpPr>
        <xdr:cNvPr id="28" name="Ellipse 11"/>
        <xdr:cNvSpPr>
          <a:spLocks/>
        </xdr:cNvSpPr>
      </xdr:nvSpPr>
      <xdr:spPr>
        <a:xfrm>
          <a:off x="7305675" y="194500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206</xdr:row>
      <xdr:rowOff>76200</xdr:rowOff>
    </xdr:from>
    <xdr:to>
      <xdr:col>35</xdr:col>
      <xdr:colOff>47625</xdr:colOff>
      <xdr:row>206</xdr:row>
      <xdr:rowOff>114300</xdr:rowOff>
    </xdr:to>
    <xdr:sp>
      <xdr:nvSpPr>
        <xdr:cNvPr id="29" name="Ellipse 12"/>
        <xdr:cNvSpPr>
          <a:spLocks/>
        </xdr:cNvSpPr>
      </xdr:nvSpPr>
      <xdr:spPr>
        <a:xfrm>
          <a:off x="7305675" y="196405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210</xdr:row>
      <xdr:rowOff>85725</xdr:rowOff>
    </xdr:from>
    <xdr:to>
      <xdr:col>3</xdr:col>
      <xdr:colOff>95250</xdr:colOff>
      <xdr:row>210</xdr:row>
      <xdr:rowOff>123825</xdr:rowOff>
    </xdr:to>
    <xdr:sp>
      <xdr:nvSpPr>
        <xdr:cNvPr id="30" name="Ellipse 13" hidden="1"/>
        <xdr:cNvSpPr>
          <a:spLocks/>
        </xdr:cNvSpPr>
      </xdr:nvSpPr>
      <xdr:spPr>
        <a:xfrm>
          <a:off x="485775" y="20031075"/>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196</xdr:row>
      <xdr:rowOff>85725</xdr:rowOff>
    </xdr:from>
    <xdr:to>
      <xdr:col>43</xdr:col>
      <xdr:colOff>9525</xdr:colOff>
      <xdr:row>196</xdr:row>
      <xdr:rowOff>676275</xdr:rowOff>
    </xdr:to>
    <xdr:grpSp>
      <xdr:nvGrpSpPr>
        <xdr:cNvPr id="31" name="Groupe 16"/>
        <xdr:cNvGrpSpPr>
          <a:grpSpLocks/>
        </xdr:cNvGrpSpPr>
      </xdr:nvGrpSpPr>
      <xdr:grpSpPr>
        <a:xfrm>
          <a:off x="447675" y="18030825"/>
          <a:ext cx="8753475" cy="590550"/>
          <a:chOff x="407502" y="18106609"/>
          <a:chExt cx="8802758" cy="592623"/>
        </a:xfrm>
        <a:solidFill>
          <a:srgbClr val="FFFFFF"/>
        </a:solidFill>
      </xdr:grpSpPr>
      <xdr:sp>
        <xdr:nvSpPr>
          <xdr:cNvPr id="32" name="ZoneTexte 14"/>
          <xdr:cNvSpPr txBox="1">
            <a:spLocks noChangeArrowheads="1"/>
          </xdr:cNvSpPr>
        </xdr:nvSpPr>
        <xdr:spPr>
          <a:xfrm>
            <a:off x="627571" y="18135351"/>
            <a:ext cx="8582689" cy="315424"/>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être dûment autorisé à prendre des engagements au nom du participant, d’avoir pris connaissance des exigences et des conditions
du programme pour lequel je demande une aide financière. Je reconnais que les renseignements contenus dans ce formulaire sont exacts.</a:t>
            </a:r>
          </a:p>
        </xdr:txBody>
      </xdr:sp>
      <xdr:sp>
        <xdr:nvSpPr>
          <xdr:cNvPr id="33" name="ZoneTexte 15"/>
          <xdr:cNvSpPr txBox="1">
            <a:spLocks noChangeArrowheads="1"/>
          </xdr:cNvSpPr>
        </xdr:nvSpPr>
        <xdr:spPr>
          <a:xfrm>
            <a:off x="627571" y="18527223"/>
            <a:ext cx="8199769" cy="172009"/>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qu'aucun bon de commande ou aucune facture n'a été émis pour ce projet plus de 30 jours avant la transmission de cette demande.</a:t>
            </a:r>
          </a:p>
        </xdr:txBody>
      </xdr:sp>
      <xdr:pic>
        <xdr:nvPicPr>
          <xdr:cNvPr id="34" name="CheckBox1"/>
          <xdr:cNvPicPr preferRelativeResize="1">
            <a:picLocks noChangeAspect="0"/>
          </xdr:cNvPicPr>
        </xdr:nvPicPr>
        <xdr:blipFill>
          <a:blip r:embed="rId1"/>
          <a:stretch>
            <a:fillRect/>
          </a:stretch>
        </xdr:blipFill>
        <xdr:spPr>
          <a:xfrm>
            <a:off x="407502" y="18106609"/>
            <a:ext cx="158450" cy="181046"/>
          </a:xfrm>
          <a:prstGeom prst="rect">
            <a:avLst/>
          </a:prstGeom>
          <a:solidFill>
            <a:srgbClr val="FFFFFF"/>
          </a:solidFill>
          <a:ln w="1" cmpd="sng">
            <a:noFill/>
          </a:ln>
        </xdr:spPr>
      </xdr:pic>
      <xdr:pic>
        <xdr:nvPicPr>
          <xdr:cNvPr id="35" name="CheckBox2"/>
          <xdr:cNvPicPr preferRelativeResize="1">
            <a:picLocks noChangeAspect="0"/>
          </xdr:cNvPicPr>
        </xdr:nvPicPr>
        <xdr:blipFill>
          <a:blip r:embed="rId1"/>
          <a:stretch>
            <a:fillRect/>
          </a:stretch>
        </xdr:blipFill>
        <xdr:spPr>
          <a:xfrm>
            <a:off x="425108" y="18512408"/>
            <a:ext cx="158450" cy="181046"/>
          </a:xfrm>
          <a:prstGeom prst="rect">
            <a:avLst/>
          </a:prstGeom>
          <a:solidFill>
            <a:srgbClr val="FFFFFF"/>
          </a:solidFill>
          <a:ln w="1" cmpd="sng">
            <a:noFill/>
          </a:ln>
        </xdr:spPr>
      </xdr:pic>
    </xdr:grpSp>
    <xdr:clientData/>
  </xdr:twoCellAnchor>
  <xdr:oneCellAnchor>
    <xdr:from>
      <xdr:col>9</xdr:col>
      <xdr:colOff>38100</xdr:colOff>
      <xdr:row>0</xdr:row>
      <xdr:rowOff>0</xdr:rowOff>
    </xdr:from>
    <xdr:ext cx="7477125" cy="809625"/>
    <xdr:sp>
      <xdr:nvSpPr>
        <xdr:cNvPr id="36" name="ZoneTexte 18"/>
        <xdr:cNvSpPr txBox="1">
          <a:spLocks noChangeArrowheads="1"/>
        </xdr:cNvSpPr>
      </xdr:nvSpPr>
      <xdr:spPr>
        <a:xfrm>
          <a:off x="1866900" y="0"/>
          <a:ext cx="7477125" cy="809625"/>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ÉcoPerformance</a:t>
          </a:r>
        </a:p>
      </xdr:txBody>
    </xdr:sp>
    <xdr:clientData/>
  </xdr:oneCellAnchor>
  <xdr:twoCellAnchor>
    <xdr:from>
      <xdr:col>15</xdr:col>
      <xdr:colOff>161925</xdr:colOff>
      <xdr:row>1</xdr:row>
      <xdr:rowOff>809625</xdr:rowOff>
    </xdr:from>
    <xdr:to>
      <xdr:col>21</xdr:col>
      <xdr:colOff>104775</xdr:colOff>
      <xdr:row>2</xdr:row>
      <xdr:rowOff>200025</xdr:rowOff>
    </xdr:to>
    <xdr:sp>
      <xdr:nvSpPr>
        <xdr:cNvPr id="37" name="Rectangle 23">
          <a:hlinkClick r:id="rId2"/>
        </xdr:cNvPr>
        <xdr:cNvSpPr>
          <a:spLocks/>
        </xdr:cNvSpPr>
      </xdr:nvSpPr>
      <xdr:spPr>
        <a:xfrm>
          <a:off x="3390900" y="962025"/>
          <a:ext cx="1295400"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9</xdr:col>
      <xdr:colOff>38100</xdr:colOff>
      <xdr:row>2</xdr:row>
      <xdr:rowOff>0</xdr:rowOff>
    </xdr:to>
    <xdr:pic>
      <xdr:nvPicPr>
        <xdr:cNvPr id="38" name="Image 22"/>
        <xdr:cNvPicPr preferRelativeResize="1">
          <a:picLocks noChangeAspect="1"/>
        </xdr:cNvPicPr>
      </xdr:nvPicPr>
      <xdr:blipFill>
        <a:blip r:embed="rId3"/>
        <a:stretch>
          <a:fillRect/>
        </a:stretch>
      </xdr:blipFill>
      <xdr:spPr>
        <a:xfrm>
          <a:off x="0" y="0"/>
          <a:ext cx="1866900" cy="971550"/>
        </a:xfrm>
        <a:prstGeom prst="rect">
          <a:avLst/>
        </a:prstGeom>
        <a:noFill/>
        <a:ln w="9525" cmpd="sng">
          <a:noFill/>
        </a:ln>
      </xdr:spPr>
    </xdr:pic>
    <xdr:clientData/>
  </xdr:twoCellAnchor>
  <xdr:twoCellAnchor>
    <xdr:from>
      <xdr:col>9</xdr:col>
      <xdr:colOff>38100</xdr:colOff>
      <xdr:row>1</xdr:row>
      <xdr:rowOff>809625</xdr:rowOff>
    </xdr:from>
    <xdr:to>
      <xdr:col>12</xdr:col>
      <xdr:colOff>152400</xdr:colOff>
      <xdr:row>2</xdr:row>
      <xdr:rowOff>200025</xdr:rowOff>
    </xdr:to>
    <xdr:sp>
      <xdr:nvSpPr>
        <xdr:cNvPr id="39" name="Rectangle 16">
          <a:hlinkClick r:id="rId4"/>
        </xdr:cNvPr>
        <xdr:cNvSpPr>
          <a:spLocks/>
        </xdr:cNvSpPr>
      </xdr:nvSpPr>
      <xdr:spPr>
        <a:xfrm>
          <a:off x="1866900" y="962025"/>
          <a:ext cx="828675"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1304925</xdr:colOff>
      <xdr:row>4</xdr:row>
      <xdr:rowOff>142875</xdr:rowOff>
    </xdr:to>
    <xdr:pic>
      <xdr:nvPicPr>
        <xdr:cNvPr id="1" name="Image 6"/>
        <xdr:cNvPicPr preferRelativeResize="1">
          <a:picLocks noChangeAspect="1"/>
        </xdr:cNvPicPr>
      </xdr:nvPicPr>
      <xdr:blipFill>
        <a:blip r:embed="rId1"/>
        <a:stretch>
          <a:fillRect/>
        </a:stretch>
      </xdr:blipFill>
      <xdr:spPr>
        <a:xfrm>
          <a:off x="0" y="0"/>
          <a:ext cx="1876425" cy="971550"/>
        </a:xfrm>
        <a:prstGeom prst="rect">
          <a:avLst/>
        </a:prstGeom>
        <a:noFill/>
        <a:ln w="9525" cmpd="sng">
          <a:noFill/>
        </a:ln>
      </xdr:spPr>
    </xdr:pic>
    <xdr:clientData/>
  </xdr:twoCellAnchor>
  <xdr:twoCellAnchor>
    <xdr:from>
      <xdr:col>1</xdr:col>
      <xdr:colOff>1304925</xdr:colOff>
      <xdr:row>5</xdr:row>
      <xdr:rowOff>9525</xdr:rowOff>
    </xdr:from>
    <xdr:to>
      <xdr:col>2</xdr:col>
      <xdr:colOff>438150</xdr:colOff>
      <xdr:row>6</xdr:row>
      <xdr:rowOff>9525</xdr:rowOff>
    </xdr:to>
    <xdr:sp>
      <xdr:nvSpPr>
        <xdr:cNvPr id="2" name="Rectangle 2">
          <a:hlinkClick r:id="rId2"/>
        </xdr:cNvPr>
        <xdr:cNvSpPr>
          <a:spLocks/>
        </xdr:cNvSpPr>
      </xdr:nvSpPr>
      <xdr:spPr>
        <a:xfrm>
          <a:off x="1876425" y="1095375"/>
          <a:ext cx="11239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1304925</xdr:colOff>
      <xdr:row>0</xdr:row>
      <xdr:rowOff>0</xdr:rowOff>
    </xdr:from>
    <xdr:ext cx="19230975" cy="819150"/>
    <xdr:sp>
      <xdr:nvSpPr>
        <xdr:cNvPr id="3" name="ZoneTexte 7"/>
        <xdr:cNvSpPr txBox="1">
          <a:spLocks noChangeArrowheads="1"/>
        </xdr:cNvSpPr>
      </xdr:nvSpPr>
      <xdr:spPr>
        <a:xfrm>
          <a:off x="1876425" y="0"/>
          <a:ext cx="19230975" cy="819150"/>
        </a:xfrm>
        <a:prstGeom prst="rect">
          <a:avLst/>
        </a:prstGeom>
        <a:solidFill>
          <a:srgbClr val="1C829A"/>
        </a:solidFill>
        <a:ln w="9525" cmpd="sng">
          <a:noFill/>
        </a:ln>
      </xdr:spPr>
      <xdr:txBody>
        <a:bodyPr vertOverflow="clip" wrap="square" lIns="136800" tIns="0" rIns="0" bIns="36000" anchor="b"/>
        <a:p>
          <a:pPr algn="l">
            <a:defRPr/>
          </a:pPr>
          <a:r>
            <a:rPr lang="en-US" cap="none" sz="1700" b="1" i="0" u="none" baseline="0">
              <a:solidFill>
                <a:srgbClr val="FFFFFF"/>
              </a:solidFill>
              <a:latin typeface="Arial"/>
              <a:ea typeface="Arial"/>
              <a:cs typeface="Arial"/>
            </a:rPr>
            <a:t>Plan d'implantation des mesures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219075</xdr:rowOff>
    </xdr:from>
    <xdr:to>
      <xdr:col>6</xdr:col>
      <xdr:colOff>476250</xdr:colOff>
      <xdr:row>5</xdr:row>
      <xdr:rowOff>152400</xdr:rowOff>
    </xdr:to>
    <xdr:sp>
      <xdr:nvSpPr>
        <xdr:cNvPr id="1" name="ZoneTexte 1"/>
        <xdr:cNvSpPr txBox="1">
          <a:spLocks noChangeArrowheads="1"/>
        </xdr:cNvSpPr>
      </xdr:nvSpPr>
      <xdr:spPr>
        <a:xfrm>
          <a:off x="1790700" y="1209675"/>
          <a:ext cx="7486650" cy="238125"/>
        </a:xfrm>
        <a:prstGeom prst="rect">
          <a:avLst/>
        </a:prstGeom>
        <a:solidFill>
          <a:srgbClr val="FFFFFF"/>
        </a:solidFill>
        <a:ln w="9525" cmpd="sng">
          <a:noFill/>
        </a:ln>
      </xdr:spPr>
      <xdr:txBody>
        <a:bodyPr vertOverflow="clip" wrap="square" lIns="0" tIns="0" rIns="0" bIns="0" anchor="ctr"/>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85725</xdr:colOff>
      <xdr:row>3</xdr:row>
      <xdr:rowOff>152400</xdr:rowOff>
    </xdr:to>
    <xdr:pic>
      <xdr:nvPicPr>
        <xdr:cNvPr id="2" name="Image 10"/>
        <xdr:cNvPicPr preferRelativeResize="1">
          <a:picLocks noChangeAspect="1"/>
        </xdr:cNvPicPr>
      </xdr:nvPicPr>
      <xdr:blipFill>
        <a:blip r:embed="rId1"/>
        <a:stretch>
          <a:fillRect/>
        </a:stretch>
      </xdr:blipFill>
      <xdr:spPr>
        <a:xfrm>
          <a:off x="0" y="0"/>
          <a:ext cx="1876425" cy="981075"/>
        </a:xfrm>
        <a:prstGeom prst="rect">
          <a:avLst/>
        </a:prstGeom>
        <a:noFill/>
        <a:ln w="9525" cmpd="sng">
          <a:noFill/>
        </a:ln>
      </xdr:spPr>
    </xdr:pic>
    <xdr:clientData/>
  </xdr:twoCellAnchor>
  <xdr:oneCellAnchor>
    <xdr:from>
      <xdr:col>1</xdr:col>
      <xdr:colOff>95250</xdr:colOff>
      <xdr:row>0</xdr:row>
      <xdr:rowOff>28575</xdr:rowOff>
    </xdr:from>
    <xdr:ext cx="20935950" cy="800100"/>
    <xdr:sp>
      <xdr:nvSpPr>
        <xdr:cNvPr id="3" name="ZoneTexte 2"/>
        <xdr:cNvSpPr txBox="1">
          <a:spLocks noChangeArrowheads="1"/>
        </xdr:cNvSpPr>
      </xdr:nvSpPr>
      <xdr:spPr>
        <a:xfrm>
          <a:off x="1885950" y="28575"/>
          <a:ext cx="20935950" cy="800100"/>
        </a:xfrm>
        <a:prstGeom prst="rect">
          <a:avLst/>
        </a:prstGeom>
        <a:solidFill>
          <a:srgbClr val="1C829A"/>
        </a:solidFill>
        <a:ln w="9525" cmpd="sng">
          <a:noFill/>
        </a:ln>
      </xdr:spPr>
      <xdr:txBody>
        <a:bodyPr vertOverflow="clip" wrap="square" lIns="136800" tIns="0" rIns="0" bIns="36000" anchor="b"/>
        <a:p>
          <a:pPr algn="l">
            <a:defRPr/>
          </a:pPr>
          <a:r>
            <a:rPr lang="en-US" cap="none" sz="1700" b="1" i="0" u="none" baseline="0">
              <a:solidFill>
                <a:srgbClr val="FFFFFF"/>
              </a:solidFill>
              <a:latin typeface="Arial"/>
              <a:ea typeface="Arial"/>
              <a:cs typeface="Arial"/>
            </a:rPr>
            <a:t>Rapport détaillé des coûts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1314450</xdr:colOff>
      <xdr:row>0</xdr:row>
      <xdr:rowOff>0</xdr:rowOff>
    </xdr:from>
    <xdr:ext cx="19621500" cy="819150"/>
    <xdr:sp>
      <xdr:nvSpPr>
        <xdr:cNvPr id="1" name="ZoneTexte 2"/>
        <xdr:cNvSpPr txBox="1">
          <a:spLocks noChangeArrowheads="1"/>
        </xdr:cNvSpPr>
      </xdr:nvSpPr>
      <xdr:spPr>
        <a:xfrm>
          <a:off x="1885950" y="0"/>
          <a:ext cx="196215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Rapport des résultats du plan d'implantation des mesures</a:t>
          </a:r>
        </a:p>
      </xdr:txBody>
    </xdr:sp>
    <xdr:clientData/>
  </xdr:oneCellAnchor>
  <xdr:twoCellAnchor editAs="oneCell">
    <xdr:from>
      <xdr:col>0</xdr:col>
      <xdr:colOff>0</xdr:colOff>
      <xdr:row>0</xdr:row>
      <xdr:rowOff>0</xdr:rowOff>
    </xdr:from>
    <xdr:to>
      <xdr:col>1</xdr:col>
      <xdr:colOff>1304925</xdr:colOff>
      <xdr:row>4</xdr:row>
      <xdr:rowOff>152400</xdr:rowOff>
    </xdr:to>
    <xdr:pic>
      <xdr:nvPicPr>
        <xdr:cNvPr id="2" name="Image 6"/>
        <xdr:cNvPicPr preferRelativeResize="1">
          <a:picLocks noChangeAspect="1"/>
        </xdr:cNvPicPr>
      </xdr:nvPicPr>
      <xdr:blipFill>
        <a:blip r:embed="rId1"/>
        <a:stretch>
          <a:fillRect/>
        </a:stretch>
      </xdr:blipFill>
      <xdr:spPr>
        <a:xfrm>
          <a:off x="0" y="0"/>
          <a:ext cx="187642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228600</xdr:colOff>
      <xdr:row>5</xdr:row>
      <xdr:rowOff>161925</xdr:rowOff>
    </xdr:to>
    <xdr:pic>
      <xdr:nvPicPr>
        <xdr:cNvPr id="1" name="Image 7"/>
        <xdr:cNvPicPr preferRelativeResize="1">
          <a:picLocks noChangeAspect="1"/>
        </xdr:cNvPicPr>
      </xdr:nvPicPr>
      <xdr:blipFill>
        <a:blip r:embed="rId1"/>
        <a:stretch>
          <a:fillRect/>
        </a:stretch>
      </xdr:blipFill>
      <xdr:spPr>
        <a:xfrm>
          <a:off x="0" y="0"/>
          <a:ext cx="1876425" cy="962025"/>
        </a:xfrm>
        <a:prstGeom prst="rect">
          <a:avLst/>
        </a:prstGeom>
        <a:noFill/>
        <a:ln w="9525" cmpd="sng">
          <a:noFill/>
        </a:ln>
      </xdr:spPr>
    </xdr:pic>
    <xdr:clientData/>
  </xdr:twoCellAnchor>
  <xdr:oneCellAnchor>
    <xdr:from>
      <xdr:col>3</xdr:col>
      <xdr:colOff>238125</xdr:colOff>
      <xdr:row>0</xdr:row>
      <xdr:rowOff>0</xdr:rowOff>
    </xdr:from>
    <xdr:ext cx="10325100" cy="819150"/>
    <xdr:sp>
      <xdr:nvSpPr>
        <xdr:cNvPr id="2" name="ZoneTexte 1"/>
        <xdr:cNvSpPr txBox="1">
          <a:spLocks noChangeArrowheads="1"/>
        </xdr:cNvSpPr>
      </xdr:nvSpPr>
      <xdr:spPr>
        <a:xfrm>
          <a:off x="1885950" y="0"/>
          <a:ext cx="103251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Autres sites </a:t>
          </a:r>
          <a:r>
            <a:rPr lang="en-US" cap="none" sz="1500" b="1" i="0" u="none" baseline="0">
              <a:solidFill>
                <a:srgbClr val="FFFFFF"/>
              </a:solidFill>
              <a:latin typeface="Arial"/>
              <a:ea typeface="Arial"/>
              <a:cs typeface="Arial"/>
            </a:rPr>
            <a:t>(si applicable)</a:t>
          </a:r>
        </a:p>
      </xdr:txBody>
    </xdr:sp>
    <xdr:clientData/>
  </xdr:oneCellAnchor>
  <xdr:twoCellAnchor editAs="oneCell">
    <xdr:from>
      <xdr:col>0</xdr:col>
      <xdr:colOff>0</xdr:colOff>
      <xdr:row>0</xdr:row>
      <xdr:rowOff>0</xdr:rowOff>
    </xdr:from>
    <xdr:to>
      <xdr:col>3</xdr:col>
      <xdr:colOff>228600</xdr:colOff>
      <xdr:row>5</xdr:row>
      <xdr:rowOff>161925</xdr:rowOff>
    </xdr:to>
    <xdr:pic>
      <xdr:nvPicPr>
        <xdr:cNvPr id="3" name="Image 6"/>
        <xdr:cNvPicPr preferRelativeResize="1">
          <a:picLocks noChangeAspect="1"/>
        </xdr:cNvPicPr>
      </xdr:nvPicPr>
      <xdr:blipFill>
        <a:blip r:embed="rId1"/>
        <a:stretch>
          <a:fillRect/>
        </a:stretch>
      </xdr:blipFill>
      <xdr:spPr>
        <a:xfrm>
          <a:off x="0" y="0"/>
          <a:ext cx="187642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FY261"/>
  <sheetViews>
    <sheetView zoomScale="115" zoomScaleNormal="115" zoomScalePageLayoutView="0" workbookViewId="0" topLeftCell="A21">
      <selection activeCell="F38" sqref="F38"/>
    </sheetView>
  </sheetViews>
  <sheetFormatPr defaultColWidth="11.421875" defaultRowHeight="12.75"/>
  <cols>
    <col min="2" max="2" width="9.421875" style="0" customWidth="1"/>
    <col min="3" max="3" width="14.00390625" style="0" customWidth="1"/>
    <col min="14" max="14" width="13.00390625" style="0" customWidth="1"/>
    <col min="16" max="16" width="6.57421875" style="0" customWidth="1"/>
    <col min="18" max="18" width="11.140625" style="0" customWidth="1"/>
    <col min="19" max="19" width="8.421875" style="0" customWidth="1"/>
    <col min="20" max="20" width="9.00390625" style="0" customWidth="1"/>
    <col min="22" max="22" width="29.57421875" style="0" customWidth="1"/>
    <col min="27" max="27" width="26.8515625" style="0" bestFit="1" customWidth="1"/>
    <col min="28" max="28" width="7.8515625" style="0" bestFit="1" customWidth="1"/>
    <col min="30" max="30" width="13.57421875" style="0" bestFit="1" customWidth="1"/>
    <col min="35" max="35" width="12.57421875" style="0" bestFit="1" customWidth="1"/>
    <col min="66" max="66" width="16.421875" style="0" customWidth="1"/>
  </cols>
  <sheetData>
    <row r="1" spans="1:181" ht="12.75">
      <c r="A1" t="s">
        <v>593</v>
      </c>
      <c r="B1" t="s">
        <v>592</v>
      </c>
      <c r="C1" t="s">
        <v>157</v>
      </c>
      <c r="D1" t="s">
        <v>158</v>
      </c>
      <c r="E1" t="s">
        <v>246</v>
      </c>
      <c r="F1" t="s">
        <v>247</v>
      </c>
      <c r="G1" t="s">
        <v>815</v>
      </c>
      <c r="H1" t="s">
        <v>249</v>
      </c>
      <c r="I1" t="s">
        <v>745</v>
      </c>
      <c r="J1" t="s">
        <v>746</v>
      </c>
      <c r="K1" t="s">
        <v>747</v>
      </c>
      <c r="L1" t="s">
        <v>748</v>
      </c>
      <c r="M1" t="s">
        <v>749</v>
      </c>
      <c r="N1" t="s">
        <v>336</v>
      </c>
      <c r="O1" t="s">
        <v>750</v>
      </c>
      <c r="P1" s="294" t="s">
        <v>731</v>
      </c>
      <c r="Q1" s="295" t="s">
        <v>732</v>
      </c>
      <c r="R1" s="295" t="s">
        <v>328</v>
      </c>
      <c r="S1" s="295" t="s">
        <v>733</v>
      </c>
      <c r="T1" s="295" t="s">
        <v>734</v>
      </c>
      <c r="U1" s="295" t="s">
        <v>329</v>
      </c>
      <c r="V1" s="295" t="s">
        <v>735</v>
      </c>
      <c r="W1" s="295" t="s">
        <v>736</v>
      </c>
      <c r="X1" s="295" t="s">
        <v>737</v>
      </c>
      <c r="Y1" s="295" t="s">
        <v>738</v>
      </c>
      <c r="Z1" s="295" t="s">
        <v>739</v>
      </c>
      <c r="AA1" s="295" t="s">
        <v>740</v>
      </c>
      <c r="AB1" s="295" t="s">
        <v>741</v>
      </c>
      <c r="AC1" s="295" t="s">
        <v>742</v>
      </c>
      <c r="AD1" s="295" t="s">
        <v>743</v>
      </c>
      <c r="AE1" s="295" t="s">
        <v>744</v>
      </c>
      <c r="AF1" s="295" t="s">
        <v>836</v>
      </c>
      <c r="AG1" t="s">
        <v>594</v>
      </c>
      <c r="AH1" t="s">
        <v>595</v>
      </c>
      <c r="AI1" t="s">
        <v>596</v>
      </c>
      <c r="AJ1" t="s">
        <v>597</v>
      </c>
      <c r="AK1" t="s">
        <v>598</v>
      </c>
      <c r="AL1" t="s">
        <v>599</v>
      </c>
      <c r="AM1" t="s">
        <v>600</v>
      </c>
      <c r="AN1" t="s">
        <v>683</v>
      </c>
      <c r="AO1" t="s">
        <v>837</v>
      </c>
      <c r="AP1" t="s">
        <v>601</v>
      </c>
      <c r="AQ1" t="s">
        <v>602</v>
      </c>
      <c r="AR1" t="s">
        <v>603</v>
      </c>
      <c r="AS1" t="s">
        <v>645</v>
      </c>
      <c r="AT1" t="s">
        <v>604</v>
      </c>
      <c r="AU1" t="s">
        <v>605</v>
      </c>
      <c r="AV1" t="s">
        <v>606</v>
      </c>
      <c r="AW1" t="s">
        <v>608</v>
      </c>
      <c r="AX1" t="s">
        <v>609</v>
      </c>
      <c r="AY1" t="s">
        <v>610</v>
      </c>
      <c r="AZ1" t="s">
        <v>607</v>
      </c>
      <c r="BA1" t="s">
        <v>611</v>
      </c>
      <c r="BB1" t="s">
        <v>612</v>
      </c>
      <c r="BC1" t="s">
        <v>613</v>
      </c>
      <c r="BD1" t="s">
        <v>614</v>
      </c>
      <c r="BE1" t="s">
        <v>752</v>
      </c>
      <c r="BF1" t="s">
        <v>838</v>
      </c>
      <c r="BG1" t="s">
        <v>615</v>
      </c>
      <c r="BH1" t="s">
        <v>616</v>
      </c>
      <c r="BI1" t="s">
        <v>617</v>
      </c>
      <c r="BJ1" t="s">
        <v>646</v>
      </c>
      <c r="BK1" t="s">
        <v>618</v>
      </c>
      <c r="BL1" t="s">
        <v>619</v>
      </c>
      <c r="BM1" t="s">
        <v>620</v>
      </c>
      <c r="BN1" t="s">
        <v>621</v>
      </c>
      <c r="BO1" t="s">
        <v>622</v>
      </c>
      <c r="BP1" t="s">
        <v>623</v>
      </c>
      <c r="BQ1" t="s">
        <v>624</v>
      </c>
      <c r="BR1" t="s">
        <v>625</v>
      </c>
      <c r="BS1" t="s">
        <v>626</v>
      </c>
      <c r="BT1" t="s">
        <v>627</v>
      </c>
      <c r="BU1" t="s">
        <v>628</v>
      </c>
      <c r="BV1" t="s">
        <v>753</v>
      </c>
      <c r="BW1" t="s">
        <v>839</v>
      </c>
      <c r="BX1" t="s">
        <v>629</v>
      </c>
      <c r="BY1" t="s">
        <v>630</v>
      </c>
      <c r="BZ1" t="s">
        <v>631</v>
      </c>
      <c r="CA1" t="s">
        <v>647</v>
      </c>
      <c r="CB1" t="s">
        <v>632</v>
      </c>
      <c r="CC1" t="s">
        <v>633</v>
      </c>
      <c r="CD1" t="s">
        <v>634</v>
      </c>
      <c r="CE1" t="s">
        <v>638</v>
      </c>
      <c r="CF1" t="s">
        <v>639</v>
      </c>
      <c r="CG1" t="s">
        <v>640</v>
      </c>
      <c r="CH1" t="s">
        <v>641</v>
      </c>
      <c r="CI1" t="s">
        <v>642</v>
      </c>
      <c r="CJ1" t="s">
        <v>643</v>
      </c>
      <c r="CK1" t="s">
        <v>648</v>
      </c>
      <c r="CL1" t="s">
        <v>649</v>
      </c>
      <c r="CM1" t="s">
        <v>650</v>
      </c>
      <c r="CN1" t="s">
        <v>644</v>
      </c>
      <c r="CO1" t="s">
        <v>751</v>
      </c>
      <c r="CP1" t="s">
        <v>840</v>
      </c>
      <c r="CQ1" t="s">
        <v>651</v>
      </c>
      <c r="CR1" t="s">
        <v>652</v>
      </c>
      <c r="CS1" t="s">
        <v>653</v>
      </c>
      <c r="CT1" t="s">
        <v>654</v>
      </c>
      <c r="CU1" t="s">
        <v>655</v>
      </c>
      <c r="CV1" t="s">
        <v>656</v>
      </c>
      <c r="CW1" t="s">
        <v>657</v>
      </c>
      <c r="CX1" t="s">
        <v>658</v>
      </c>
      <c r="CY1" t="s">
        <v>659</v>
      </c>
      <c r="CZ1" t="s">
        <v>660</v>
      </c>
      <c r="DA1" t="s">
        <v>661</v>
      </c>
      <c r="DB1" t="s">
        <v>662</v>
      </c>
      <c r="DC1" t="s">
        <v>663</v>
      </c>
      <c r="DD1" t="s">
        <v>664</v>
      </c>
      <c r="DE1" t="s">
        <v>665</v>
      </c>
      <c r="DF1" t="s">
        <v>666</v>
      </c>
      <c r="DG1" t="s">
        <v>667</v>
      </c>
      <c r="DH1" t="s">
        <v>754</v>
      </c>
      <c r="DI1" t="s">
        <v>668</v>
      </c>
      <c r="DJ1" t="s">
        <v>669</v>
      </c>
      <c r="DK1" t="s">
        <v>670</v>
      </c>
      <c r="DL1" t="s">
        <v>671</v>
      </c>
      <c r="DM1" t="s">
        <v>672</v>
      </c>
      <c r="DN1" t="s">
        <v>673</v>
      </c>
      <c r="DO1" t="s">
        <v>674</v>
      </c>
      <c r="DP1" t="s">
        <v>726</v>
      </c>
      <c r="DQ1" t="s">
        <v>358</v>
      </c>
      <c r="DR1" t="s">
        <v>277</v>
      </c>
      <c r="DS1" t="s">
        <v>357</v>
      </c>
      <c r="DT1" t="s">
        <v>278</v>
      </c>
      <c r="DU1" t="s">
        <v>675</v>
      </c>
      <c r="DV1" t="s">
        <v>676</v>
      </c>
      <c r="DW1" t="s">
        <v>677</v>
      </c>
      <c r="DX1" t="s">
        <v>841</v>
      </c>
      <c r="DY1" t="s">
        <v>63</v>
      </c>
      <c r="DZ1" t="s">
        <v>64</v>
      </c>
      <c r="EA1" t="s">
        <v>65</v>
      </c>
      <c r="EB1" t="s">
        <v>263</v>
      </c>
      <c r="EC1" t="s">
        <v>66</v>
      </c>
      <c r="ED1" t="s">
        <v>147</v>
      </c>
      <c r="EE1" t="s">
        <v>148</v>
      </c>
      <c r="EF1" t="s">
        <v>149</v>
      </c>
      <c r="EG1" t="s">
        <v>150</v>
      </c>
      <c r="EH1" t="s">
        <v>151</v>
      </c>
      <c r="EI1" t="s">
        <v>152</v>
      </c>
      <c r="EJ1" t="s">
        <v>465</v>
      </c>
      <c r="EK1" t="s">
        <v>170</v>
      </c>
      <c r="EL1" t="s">
        <v>685</v>
      </c>
      <c r="EM1" t="s">
        <v>493</v>
      </c>
      <c r="EN1" t="s">
        <v>494</v>
      </c>
      <c r="EO1" t="s">
        <v>208</v>
      </c>
      <c r="EP1" t="s">
        <v>495</v>
      </c>
      <c r="EQ1" t="s">
        <v>496</v>
      </c>
      <c r="ER1" t="s">
        <v>497</v>
      </c>
      <c r="ES1" t="s">
        <v>319</v>
      </c>
      <c r="ET1" t="s">
        <v>686</v>
      </c>
      <c r="EU1" t="s">
        <v>687</v>
      </c>
      <c r="EV1" t="s">
        <v>500</v>
      </c>
      <c r="EW1" t="s">
        <v>688</v>
      </c>
      <c r="EX1" t="s">
        <v>689</v>
      </c>
      <c r="EY1" t="s">
        <v>503</v>
      </c>
      <c r="EZ1" t="s">
        <v>690</v>
      </c>
      <c r="FA1" t="s">
        <v>701</v>
      </c>
      <c r="FB1" t="s">
        <v>506</v>
      </c>
      <c r="FC1" t="s">
        <v>691</v>
      </c>
      <c r="FD1" t="s">
        <v>692</v>
      </c>
      <c r="FE1" t="s">
        <v>693</v>
      </c>
      <c r="FF1" t="s">
        <v>694</v>
      </c>
      <c r="FG1" t="s">
        <v>695</v>
      </c>
      <c r="FH1" t="s">
        <v>696</v>
      </c>
      <c r="FI1" t="s">
        <v>697</v>
      </c>
      <c r="FJ1" t="s">
        <v>122</v>
      </c>
      <c r="FK1" t="s">
        <v>509</v>
      </c>
      <c r="FL1" t="s">
        <v>309</v>
      </c>
      <c r="FM1" t="s">
        <v>698</v>
      </c>
      <c r="FN1" t="s">
        <v>699</v>
      </c>
      <c r="FO1" t="s">
        <v>721</v>
      </c>
      <c r="FP1" t="s">
        <v>700</v>
      </c>
      <c r="FQ1" t="s">
        <v>359</v>
      </c>
      <c r="FR1" t="s">
        <v>360</v>
      </c>
      <c r="FS1" t="s">
        <v>363</v>
      </c>
      <c r="FT1" t="s">
        <v>361</v>
      </c>
      <c r="FU1" t="s">
        <v>362</v>
      </c>
      <c r="FV1" t="s">
        <v>364</v>
      </c>
      <c r="FW1" t="s">
        <v>702</v>
      </c>
      <c r="FX1" t="s">
        <v>940</v>
      </c>
      <c r="FY1" t="s">
        <v>941</v>
      </c>
    </row>
    <row r="2" spans="1:181" ht="12.75">
      <c r="A2" s="146" t="s">
        <v>961</v>
      </c>
      <c r="B2" s="146">
        <f>IF(A56=TRUE,"1","")</f>
      </c>
      <c r="C2" s="146">
        <f>IF(B56=TRUE,"2","")</f>
      </c>
      <c r="D2" s="146">
        <f>IF(C56=TRUE,"3","")</f>
      </c>
      <c r="E2" s="146">
        <f>IF(D56=TRUE,"4","")</f>
      </c>
      <c r="F2" s="146">
        <f>IF(E56=TRUE,"5","")</f>
      </c>
      <c r="G2" s="146">
        <f>IF(F56=TRUE,"6","")</f>
      </c>
      <c r="H2" s="146">
        <f>IF(G56=TRUE,"7","")</f>
      </c>
      <c r="I2" s="146" t="b">
        <f>A56</f>
        <v>0</v>
      </c>
      <c r="J2" s="146" t="b">
        <f aca="true" t="shared" si="0" ref="J2:O2">B56</f>
        <v>0</v>
      </c>
      <c r="K2" s="146" t="b">
        <f t="shared" si="0"/>
        <v>0</v>
      </c>
      <c r="L2" s="146" t="b">
        <f t="shared" si="0"/>
        <v>0</v>
      </c>
      <c r="M2" s="146" t="b">
        <f t="shared" si="0"/>
        <v>0</v>
      </c>
      <c r="N2" s="146" t="b">
        <f t="shared" si="0"/>
        <v>0</v>
      </c>
      <c r="O2" s="146" t="b">
        <f t="shared" si="0"/>
        <v>0</v>
      </c>
      <c r="P2" s="342" t="b">
        <f>B57</f>
        <v>0</v>
      </c>
      <c r="Q2" s="343" t="b">
        <f>B58</f>
        <v>0</v>
      </c>
      <c r="R2" s="343" t="b">
        <f>B60</f>
        <v>0</v>
      </c>
      <c r="S2" s="343" t="b">
        <f>B59</f>
        <v>0</v>
      </c>
      <c r="T2" s="343" t="b">
        <f>D57</f>
        <v>0</v>
      </c>
      <c r="U2" s="343" t="b">
        <f>D60</f>
        <v>0</v>
      </c>
      <c r="V2" s="343" t="b">
        <f>D58</f>
        <v>0</v>
      </c>
      <c r="W2" s="343" t="b">
        <f>D59</f>
        <v>0</v>
      </c>
      <c r="X2" s="343" t="b">
        <f>E57</f>
        <v>0</v>
      </c>
      <c r="Y2" s="343" t="b">
        <f>E58</f>
        <v>0</v>
      </c>
      <c r="Z2" s="343" t="b">
        <f>F57</f>
        <v>0</v>
      </c>
      <c r="AA2" s="343" t="b">
        <f>F58</f>
        <v>0</v>
      </c>
      <c r="AB2" s="343" t="b">
        <f>F59</f>
        <v>0</v>
      </c>
      <c r="AC2" s="343" t="b">
        <f>G57</f>
        <v>0</v>
      </c>
      <c r="AD2" s="343" t="b">
        <f>G58</f>
        <v>0</v>
      </c>
      <c r="AE2" s="343" t="b">
        <f>G59</f>
        <v>0</v>
      </c>
      <c r="AF2" s="343">
        <v>10</v>
      </c>
      <c r="AG2" s="146">
        <f>IF('1. Demande'!H11="","",'1. Demande'!H11)</f>
      </c>
      <c r="AH2" s="146">
        <f>IF('1. Demande'!H13="","",'1. Demande'!H13)</f>
      </c>
      <c r="AI2" s="146">
        <f>IF('1. Demande'!H15="","",'1. Demande'!H15)</f>
      </c>
      <c r="AJ2" s="146">
        <f>IF('1. Demande'!Z15="","",'1. Demande'!Z15)</f>
      </c>
      <c r="AK2" s="146">
        <f>IF('1. Demande'!AL11="","",'1. Demande'!AL11)</f>
      </c>
      <c r="AL2" s="146">
        <f>IF('1. Demande'!AL13="","",'1. Demande'!AL13)</f>
      </c>
      <c r="AM2" s="146">
        <f>IF('1. Demande'!AL15="","",'1. Demande'!AL15)</f>
      </c>
      <c r="AN2" s="146" t="b">
        <v>0</v>
      </c>
      <c r="AO2" s="146">
        <v>1</v>
      </c>
      <c r="AP2" s="146">
        <f ca="1">INDEX(OFFSET(Appel,,-1,,),MATCH('1. Demande'!H20,Appel,0))</f>
        <v>0</v>
      </c>
      <c r="AQ2" s="146">
        <f>IF('1. Demande'!M20="","",'1. Demande'!M20)</f>
      </c>
      <c r="AR2" s="146">
        <f>IF('1. Demande'!AC20="","",'1. Demande'!AC20)</f>
      </c>
      <c r="AS2" s="146">
        <f>IF('1. Demande'!AP20="","",'1. Demande'!AP20)</f>
      </c>
      <c r="AT2" s="146">
        <f>IF('1. Demande'!H22="","",'1. Demande'!H22)</f>
      </c>
      <c r="AU2" s="146">
        <f>IF('1. Demande'!AC22="","",'1. Demande'!AC22)</f>
      </c>
      <c r="AV2" s="146">
        <f>IF('1. Demande'!H24="","",'1. Demande'!H24)</f>
      </c>
      <c r="AW2" s="146">
        <f>IF('1. Demande'!H26="","",'1. Demande'!H26)</f>
      </c>
      <c r="AX2" s="146">
        <f>IF('1. Demande'!H28="","",'1. Demande'!H28)</f>
      </c>
      <c r="AY2" s="146">
        <f>IF('1. Demande'!Z28="","",'1. Demande'!Z28)</f>
      </c>
      <c r="AZ2" s="146">
        <f>IF('1. Demande'!AI24="","",'1. Demande'!AI24)</f>
      </c>
      <c r="BA2" s="146">
        <f>IF('1. Demande'!AI26="","",'1. Demande'!AI26)</f>
      </c>
      <c r="BB2" s="146">
        <f>IF('1. Demande'!AQ26="","",'1. Demande'!AQ26)</f>
      </c>
      <c r="BC2" s="146">
        <f>IF('1. Demande'!AI28="","",'1. Demande'!AI28)</f>
      </c>
      <c r="BD2" s="146" t="b">
        <v>0</v>
      </c>
      <c r="BE2" s="146" t="b">
        <v>0</v>
      </c>
      <c r="BF2" s="146">
        <v>2</v>
      </c>
      <c r="BG2" s="146">
        <f ca="1">INDEX(OFFSET(Appel,,-1,,),MATCH('1. Demande'!H35,Appel,0))</f>
        <v>0</v>
      </c>
      <c r="BH2" s="146">
        <f>IF('1. Demande'!M35="","",'1. Demande'!M35)</f>
      </c>
      <c r="BI2" s="146">
        <f>IF('1. Demande'!AC35="","",'1. Demande'!AC35)</f>
      </c>
      <c r="BJ2" s="146">
        <f>IF('1. Demande'!AP35="","",'1. Demande'!AP35)</f>
      </c>
      <c r="BK2" s="146">
        <f>IF('1. Demande'!H37="","",'1. Demande'!H37)</f>
      </c>
      <c r="BL2" s="146">
        <f>IF('1. Demande'!AC37="","",'1. Demande'!AC37)</f>
      </c>
      <c r="BM2" s="146">
        <f>IF('1. Demande'!H39="","",'1. Demande'!H39)</f>
      </c>
      <c r="BN2" s="146">
        <f>IF('1. Demande'!H41="","",'1. Demande'!H41)</f>
      </c>
      <c r="BO2" s="146">
        <f>IF('1. Demande'!H43="","",'1. Demande'!H43)</f>
      </c>
      <c r="BP2" s="146">
        <f>IF('1. Demande'!Z43="","",'1. Demande'!Z43)</f>
      </c>
      <c r="BQ2" s="146">
        <f>IF('1. Demande'!AI39="","",'1. Demande'!AI39)</f>
      </c>
      <c r="BR2" s="146">
        <f>IF('1. Demande'!AI41="","",'1. Demande'!AI41)</f>
      </c>
      <c r="BS2" s="146">
        <f>IF('1. Demande'!AQ41="","",'1. Demande'!AQ41)</f>
      </c>
      <c r="BT2" s="146">
        <f>IF('1. Demande'!AI43="","",'1. Demande'!AI43)</f>
      </c>
      <c r="BU2" s="146" t="b">
        <v>0</v>
      </c>
      <c r="BV2" s="146" t="b">
        <v>1</v>
      </c>
      <c r="BW2" s="146">
        <v>3</v>
      </c>
      <c r="BX2" s="146">
        <f ca="1">INDEX(OFFSET(Appel,,-1,,),MATCH('1. Demande'!H46,Appel,0))</f>
        <v>0</v>
      </c>
      <c r="BY2" s="146">
        <f>IF('1. Demande'!M46="","",'1. Demande'!M46)</f>
      </c>
      <c r="BZ2" s="146">
        <f>IF('1. Demande'!AC46="","",'1. Demande'!AC46)</f>
      </c>
      <c r="CA2" s="146">
        <f>IF('1. Demande'!AP46="","",'1. Demande'!AP46)</f>
      </c>
      <c r="CB2" s="146">
        <f>IF('1. Demande'!H48="","",'1. Demande'!H48)</f>
      </c>
      <c r="CC2" s="146">
        <f>IF('1. Demande'!AC48="","",'1. Demande'!AC48)</f>
      </c>
      <c r="CD2" s="146">
        <f>IF('1. Demande'!H50="","",'1. Demande'!H50)</f>
      </c>
      <c r="CE2" s="146">
        <f>IF('1. Demande'!H52="","",'1. Demande'!H52)</f>
      </c>
      <c r="CF2" s="146">
        <f>IF('1. Demande'!H54="","",'1. Demande'!H54)</f>
      </c>
      <c r="CG2" s="146">
        <f>IF('1. Demande'!Z54="","",'1. Demande'!Z54)</f>
      </c>
      <c r="CH2" s="146">
        <f>IF('1. Demande'!AI50="","",'1. Demande'!AI50)</f>
      </c>
      <c r="CI2" s="146">
        <f>IF('1. Demande'!AI52="","",'1. Demande'!AI52)</f>
      </c>
      <c r="CJ2" s="146">
        <f>IF('1. Demande'!AQ52="","",'1. Demande'!AQ52)</f>
      </c>
      <c r="CK2" s="146">
        <f>IF('1. Demande'!AI54="","",'1. Demande'!AI54)</f>
      </c>
      <c r="CL2" s="146" t="str">
        <f>IF('1. Demande'!AE56="","",'1. Demande'!AE56)</f>
        <v>Choisir…</v>
      </c>
      <c r="CM2" s="146">
        <f>IF('1. Demande'!AI56="","",'1. Demande'!AI56)</f>
      </c>
      <c r="CN2" s="146" t="b">
        <v>0</v>
      </c>
      <c r="CO2" s="146" t="b">
        <v>0</v>
      </c>
      <c r="CP2" s="146">
        <v>4</v>
      </c>
      <c r="CQ2" s="146">
        <f ca="1">INDEX(OFFSET(Appel,,-1,,),MATCH('1. Demande'!H59,Appel,0))</f>
        <v>0</v>
      </c>
      <c r="CR2" s="146">
        <f>IF('1. Demande'!M59="","",'1. Demande'!M59)</f>
      </c>
      <c r="CS2" s="146">
        <f>IF('1. Demande'!AC59="","",'1. Demande'!AC59)</f>
      </c>
      <c r="CT2" s="146">
        <f>IF('1. Demande'!AP59="","",'1. Demande'!AP59)</f>
      </c>
      <c r="CU2" s="146">
        <f>IF('1. Demande'!H61="","",'1. Demande'!H61)</f>
      </c>
      <c r="CV2" s="146">
        <f>IF('1. Demande'!AC61="","",'1. Demande'!AC61)</f>
      </c>
      <c r="CW2" s="146">
        <f>IF('1. Demande'!H63="","",'1. Demande'!H63)</f>
      </c>
      <c r="CX2" s="146">
        <f>IF('1. Demande'!H65="","",'1. Demande'!H65)</f>
      </c>
      <c r="CY2" s="146">
        <f>IF('1. Demande'!H67="","",'1. Demande'!H67)</f>
      </c>
      <c r="CZ2" s="146">
        <f>IF('1. Demande'!Z67="","",'1. Demande'!Z67)</f>
      </c>
      <c r="DA2" s="146">
        <f>IF('1. Demande'!AI63="","",'1. Demande'!AI63)</f>
      </c>
      <c r="DB2" s="146">
        <f>IF('1. Demande'!AI65="","",'1. Demande'!AI65)</f>
      </c>
      <c r="DC2" s="146">
        <f>IF('1. Demande'!AQ65="","",'1. Demande'!AQ65)</f>
      </c>
      <c r="DD2" s="146">
        <f>IF('1. Demande'!AI67="","",'1. Demande'!AI67)</f>
      </c>
      <c r="DE2" s="146" t="str">
        <f>IF('1. Demande'!AE69="","",'1. Demande'!AE69)</f>
        <v>Choisir…</v>
      </c>
      <c r="DF2" s="146">
        <f>IF('1. Demande'!AI69="","",'1. Demande'!AI69)</f>
      </c>
      <c r="DG2" s="146" t="b">
        <v>0</v>
      </c>
      <c r="DH2" s="146" t="b">
        <v>0</v>
      </c>
      <c r="DI2" s="146">
        <f>IF(F57=TRUE,IF('1. Demande'!H11="","",'1. Demande'!H11),IF('1. Demande'!H72="","",'1. Demande'!H72))</f>
      </c>
      <c r="DJ2" s="146">
        <f>IF(F57=TRUE,IF('1. Demande'!H13="","",'1. Demande'!H13),IF('1. Demande'!H74="","",'1. Demande'!H74))</f>
      </c>
      <c r="DK2" s="146">
        <f>IF(F57=TRUE,IF('1. Demande'!H15="","",'1. Demande'!H15),IF('1. Demande'!H76="","",'1. Demande'!H76))</f>
      </c>
      <c r="DL2" s="146">
        <f>IF(F57=TRUE,IF('1. Demande'!Z15="","",'1. Demande'!Z15),IF('1. Demande'!Z76="","",'1. Demande'!Z76))</f>
      </c>
      <c r="DM2" s="146">
        <f>IF(F57=TRUE,IF('1. Demande'!AL13="","",'1. Demande'!AL13),IF('1. Demande'!AI72="","",'1. Demande'!AI72))</f>
      </c>
      <c r="DN2" s="146">
        <f>IF(F57=TRUE,484,IF('1. Demande'!AI74="","",'1. Demande'!AI74))</f>
      </c>
      <c r="DO2" s="146">
        <f ca="1">IF(F57=TRUE,10,INDEX(OFFSET(Type_Entreprise,,-1,,),MATCH('1. Demande'!AI76,Type_Entreprise,0)))</f>
        <v>0</v>
      </c>
      <c r="DP2" s="146">
        <f ca="1">INDEX(OFFSET(Type_Entreprise,,1,,),MATCH('1. Demande'!AI76,Type_Entreprise,0))</f>
        <v>0</v>
      </c>
      <c r="DQ2" s="146">
        <f>IF(B61=TRUE,"1154020",DQ3)</f>
        <v>0</v>
      </c>
      <c r="DR2" s="146" t="str">
        <f>IF(A56=TRUE,"Innovation technologique",IF(OR(B56=TRUE,E56=TRUE,F56=TRUE),"Analyse","Implantation"))</f>
        <v>Implantation</v>
      </c>
      <c r="DS2" s="146">
        <f>IF(FX2="8","8",IF(B2="1","1",IF(C2="2","2",IF(F2="5","5",IF(G2="6","6",IF(H2="7","7",IF(D2="3","3",IF(E2="4","4",""))))))))</f>
      </c>
      <c r="DT2" s="146"/>
      <c r="DU2" s="344">
        <f>'1. Demande'!Z78</f>
        <v>0</v>
      </c>
      <c r="DV2" s="146" t="b">
        <v>0</v>
      </c>
      <c r="DW2" s="146" t="str">
        <f>IF(DU2&gt;36000,"(+ de 36TJ)","(- de 36TJ)")</f>
        <v>(- de 36TJ)</v>
      </c>
      <c r="DX2" s="146">
        <v>2</v>
      </c>
      <c r="DY2" s="146">
        <f>IF('1. Demande'!J91="","",'1. Demande'!J91)</f>
        <v>5700</v>
      </c>
      <c r="DZ2" s="146">
        <f ca="1">IF('1. Demande'!V91="","",'1. Demande'!V91*INDEX(OFFSET(Unite_Surface,,1,,),MATCH('1. Demande'!AC91,Unite_Surface,0)))</f>
        <v>0.09290304</v>
      </c>
      <c r="EA2" s="146">
        <f ca="1">INDEX(OFFSET(Unite_Surface,,-1,,),MATCH('1. Demande'!AC91,Unite_Surface,0))</f>
        <v>2</v>
      </c>
      <c r="EB2" s="146">
        <f>IF('1. Demande'!AJ91="","",'1. Demande'!AJ91)</f>
      </c>
      <c r="EC2" s="146">
        <f>IF('1. Demande'!AP91="","",'1. Demande'!AP91)</f>
      </c>
      <c r="ED2" s="146">
        <f>IF('1. Demande'!AE82="","",'1. Demande'!AE82)</f>
      </c>
      <c r="EE2" s="146">
        <f>IF('1. Demande'!AN82="","",'1. Demande'!AN82)</f>
      </c>
      <c r="EF2" s="146">
        <f>IF('1. Demande'!H105="","",'1. Demande'!H105)</f>
      </c>
      <c r="EG2" s="345">
        <f>IF('1. Demande'!O107="","",'1. Demande'!O107)</f>
      </c>
      <c r="EH2" s="345">
        <f>IF('1. Demande'!AN107="","",'1. Demande'!AN107)</f>
      </c>
      <c r="EI2" s="345">
        <f>IF('1. Demande'!AB107="","",'1. Demande'!AB107)</f>
      </c>
      <c r="EJ2" s="345" t="b">
        <f>IF(A56=TRUE,TRUE,FALSE)</f>
        <v>0</v>
      </c>
      <c r="EK2" s="346">
        <f>IF('1. Demande'!AN111=0,0,'1. Demande'!AN111)</f>
        <v>0</v>
      </c>
      <c r="EL2">
        <f>IF(EL3=TRUE,"Résidentiel","")</f>
      </c>
      <c r="EM2">
        <f>IF(EM3=TRUE,"Commercial","")</f>
      </c>
      <c r="EN2">
        <f>IF(EN3=TRUE,"Institutionnel","")</f>
      </c>
      <c r="EO2">
        <f>IF(EO3=TRUE,"Municipal","")</f>
      </c>
      <c r="EP2">
        <f>IF(EP3=TRUE,"Transport","")</f>
      </c>
      <c r="EQ2">
        <f>IF(EQ3=TRUE,"Industriel","")</f>
      </c>
      <c r="ER2">
        <f>IF(ER3=TRUE,"Agricole","")</f>
      </c>
      <c r="ES2">
        <f>IF(ES3=TRUE,ET2,"")</f>
      </c>
      <c r="ET2" s="146">
        <f>IF('1. Demande'!AM130="","",'1. Demande'!AM130)</f>
      </c>
      <c r="EU2" s="146" t="b">
        <v>0</v>
      </c>
      <c r="EV2" s="146">
        <f>IF(EV3=TRUE,"Bioénergie","")</f>
      </c>
      <c r="EW2" s="146">
        <f>IF(EW3=TRUE,"Éolienne","")</f>
      </c>
      <c r="EX2" s="146">
        <f>IF(EX3=TRUE,"Géothermie","")</f>
      </c>
      <c r="EY2" s="146">
        <f>IF(EY3=TRUE,"Hydrolienne","")</f>
      </c>
      <c r="EZ2" s="146">
        <f>IF(EZ3=TRUE,"Hydrogène","")</f>
      </c>
      <c r="FA2" s="146">
        <f>IF(FA3=TRUE,"Marémotrice","")</f>
      </c>
      <c r="FB2" s="146">
        <f>IF(FB3=TRUE,"Solaire","")</f>
      </c>
      <c r="FC2" s="146">
        <f>IF(FC3=TRUE,FD2,"")</f>
      </c>
      <c r="FD2" s="146">
        <f>IF('1. Demande'!AM134="","",'1. Demande'!AM134)</f>
      </c>
      <c r="FE2" s="146" t="b">
        <v>0</v>
      </c>
      <c r="FF2" s="146">
        <f>IF(FE3=TRUE,1,"")</f>
      </c>
      <c r="FG2" s="146">
        <f>IF(FF3=TRUE,3,"")</f>
      </c>
      <c r="FH2" s="146">
        <f>IF(FG3=TRUE,4,"")</f>
      </c>
      <c r="FI2" s="146">
        <f>IF(FH3=TRUE,2,"")</f>
      </c>
      <c r="FJ2" s="146">
        <f>IF(FI3=TRUE,5,"")</f>
      </c>
      <c r="FK2" s="146">
        <f>IF(FJ3=TRUE,7,"")</f>
      </c>
      <c r="FL2" s="146">
        <f>IF(FK3=TRUE,6,"")</f>
      </c>
      <c r="FM2" s="146">
        <f ca="1">IF(FL3=TRUE,IF('1. Demande'!AM138="","",INDEX(OFFSET(Énergie,,-1,,),MATCH('1. Demande'!AM138,Énergie,0))),"")</f>
      </c>
      <c r="FN2" s="348">
        <f ca="1">IF('1. Demande'!AM138="","",INDEX(OFFSET(Énergie,,-1,,),MATCH('1. Demande'!AM138,Énergie,0)))</f>
      </c>
      <c r="FO2" s="349">
        <f>'1. Demande'!AN186</f>
        <v>0</v>
      </c>
      <c r="FP2" s="345">
        <f>IF('1. Demande'!AJ198="","",'1. Demande'!AJ198)</f>
      </c>
      <c r="FQ2" s="362">
        <f>B70</f>
        <v>0</v>
      </c>
      <c r="FR2" s="362">
        <f>C70</f>
        <v>0</v>
      </c>
      <c r="FS2" s="362">
        <f>FQ2+FR2</f>
        <v>0</v>
      </c>
      <c r="FT2" s="362">
        <f>D70</f>
        <v>0</v>
      </c>
      <c r="FU2" s="362">
        <f>E70</f>
        <v>0</v>
      </c>
      <c r="FV2" s="362">
        <f>FU2+FT2</f>
        <v>0</v>
      </c>
      <c r="FW2" s="146">
        <v>1</v>
      </c>
      <c r="FX2">
        <f>IF(B61=TRUE,"8","")</f>
      </c>
      <c r="FY2" t="b">
        <f>B61</f>
        <v>0</v>
      </c>
    </row>
    <row r="3" spans="121:169" ht="12.75">
      <c r="DQ3" s="146">
        <f ca="1">IF($A$56=TRUE,"1159400",IF($E$56=TRUE,"1151000",IF($G$57=TRUE,"1151210",IF($F$57=TRUE,"1157170",IF($D$57=TRUE,"1151240",IF($D$60=TRUE,"1151202",INDEX(OFFSET(Type_Entreprise,,2,,),MATCH('1. Demande'!$AI$76,Type_Entreprise,0))))))))</f>
        <v>0</v>
      </c>
      <c r="EJ3" s="146" t="b">
        <v>0</v>
      </c>
      <c r="EL3" s="146" t="b">
        <v>0</v>
      </c>
      <c r="EM3" s="146" t="b">
        <v>0</v>
      </c>
      <c r="EN3" s="146" t="b">
        <v>0</v>
      </c>
      <c r="EO3" s="146" t="b">
        <v>0</v>
      </c>
      <c r="EP3" s="146" t="b">
        <v>0</v>
      </c>
      <c r="EQ3" s="146" t="b">
        <v>0</v>
      </c>
      <c r="ER3" s="146" t="b">
        <v>0</v>
      </c>
      <c r="ES3" s="347" t="b">
        <v>0</v>
      </c>
      <c r="ET3" s="146"/>
      <c r="EV3" s="146" t="b">
        <v>0</v>
      </c>
      <c r="EW3" s="146" t="b">
        <v>0</v>
      </c>
      <c r="EX3" s="146" t="b">
        <v>0</v>
      </c>
      <c r="EY3" s="146" t="b">
        <v>0</v>
      </c>
      <c r="EZ3" s="146" t="b">
        <v>0</v>
      </c>
      <c r="FA3" s="146" t="b">
        <v>0</v>
      </c>
      <c r="FB3" s="146" t="b">
        <v>0</v>
      </c>
      <c r="FC3" s="146" t="b">
        <v>0</v>
      </c>
      <c r="FE3" s="146" t="b">
        <v>0</v>
      </c>
      <c r="FF3" s="146" t="b">
        <v>0</v>
      </c>
      <c r="FG3" s="146" t="b">
        <v>0</v>
      </c>
      <c r="FH3" s="146" t="b">
        <v>0</v>
      </c>
      <c r="FI3" s="146" t="b">
        <v>0</v>
      </c>
      <c r="FJ3" s="146" t="b">
        <v>0</v>
      </c>
      <c r="FK3" s="146" t="b">
        <v>0</v>
      </c>
      <c r="FL3" s="146"/>
      <c r="FM3" s="146" t="b">
        <v>0</v>
      </c>
    </row>
    <row r="4" spans="1:167" ht="12.75">
      <c r="A4" t="s">
        <v>842</v>
      </c>
      <c r="B4">
        <v>0.75</v>
      </c>
      <c r="U4" s="87" t="s">
        <v>193</v>
      </c>
      <c r="V4" s="87" t="s">
        <v>194</v>
      </c>
      <c r="FE4">
        <v>1</v>
      </c>
      <c r="FF4">
        <v>3</v>
      </c>
      <c r="FG4">
        <v>4</v>
      </c>
      <c r="FH4">
        <v>2</v>
      </c>
      <c r="FI4">
        <v>5</v>
      </c>
      <c r="FJ4">
        <v>7</v>
      </c>
      <c r="FK4">
        <v>6</v>
      </c>
    </row>
    <row r="5" spans="2:22" ht="12.75" customHeight="1">
      <c r="B5" s="146" t="b">
        <v>0</v>
      </c>
      <c r="U5" s="91"/>
      <c r="V5" s="109" t="s">
        <v>189</v>
      </c>
    </row>
    <row r="6" spans="1:24" ht="12.75" customHeight="1">
      <c r="A6" s="87" t="s">
        <v>184</v>
      </c>
      <c r="B6" s="87" t="s">
        <v>182</v>
      </c>
      <c r="D6" t="s">
        <v>189</v>
      </c>
      <c r="E6">
        <v>0</v>
      </c>
      <c r="F6" t="s">
        <v>189</v>
      </c>
      <c r="H6">
        <v>0</v>
      </c>
      <c r="I6" t="s">
        <v>189</v>
      </c>
      <c r="J6" t="s">
        <v>718</v>
      </c>
      <c r="K6" t="s">
        <v>189</v>
      </c>
      <c r="L6">
        <v>0</v>
      </c>
      <c r="M6" t="s">
        <v>189</v>
      </c>
      <c r="P6" t="s">
        <v>74</v>
      </c>
      <c r="U6" s="89" t="s">
        <v>195</v>
      </c>
      <c r="V6" s="89" t="s">
        <v>196</v>
      </c>
      <c r="W6" t="s">
        <v>90</v>
      </c>
      <c r="X6" s="314" t="s">
        <v>91</v>
      </c>
    </row>
    <row r="7" spans="2:24" ht="12.75" customHeight="1">
      <c r="B7" s="92" t="s">
        <v>189</v>
      </c>
      <c r="D7" t="s">
        <v>237</v>
      </c>
      <c r="E7">
        <v>2</v>
      </c>
      <c r="F7" t="s">
        <v>157</v>
      </c>
      <c r="G7" t="s">
        <v>330</v>
      </c>
      <c r="H7">
        <v>1</v>
      </c>
      <c r="I7" t="s">
        <v>272</v>
      </c>
      <c r="J7" t="s">
        <v>708</v>
      </c>
      <c r="K7" t="s">
        <v>715</v>
      </c>
      <c r="L7">
        <v>1</v>
      </c>
      <c r="M7" t="s">
        <v>711</v>
      </c>
      <c r="P7" t="s">
        <v>75</v>
      </c>
      <c r="U7" s="314" t="s">
        <v>195</v>
      </c>
      <c r="V7" s="89" t="s">
        <v>26</v>
      </c>
      <c r="W7" t="s">
        <v>90</v>
      </c>
      <c r="X7" s="314" t="s">
        <v>76</v>
      </c>
    </row>
    <row r="8" spans="1:24" ht="12.75" customHeight="1">
      <c r="A8" s="88">
        <v>1</v>
      </c>
      <c r="B8" s="89" t="s">
        <v>185</v>
      </c>
      <c r="D8" t="s">
        <v>238</v>
      </c>
      <c r="E8">
        <v>5</v>
      </c>
      <c r="F8" t="s">
        <v>954</v>
      </c>
      <c r="G8" t="s">
        <v>330</v>
      </c>
      <c r="H8">
        <v>2</v>
      </c>
      <c r="I8" t="s">
        <v>919</v>
      </c>
      <c r="J8" t="s">
        <v>709</v>
      </c>
      <c r="K8" t="s">
        <v>716</v>
      </c>
      <c r="L8">
        <v>2</v>
      </c>
      <c r="M8" t="s">
        <v>712</v>
      </c>
      <c r="U8" s="89" t="s">
        <v>197</v>
      </c>
      <c r="V8" s="89" t="s">
        <v>727</v>
      </c>
      <c r="W8" t="s">
        <v>497</v>
      </c>
      <c r="X8" s="314" t="s">
        <v>92</v>
      </c>
    </row>
    <row r="9" spans="1:24" ht="12.75" customHeight="1">
      <c r="A9" s="88">
        <v>2</v>
      </c>
      <c r="B9" s="89" t="s">
        <v>186</v>
      </c>
      <c r="D9" t="s">
        <v>239</v>
      </c>
      <c r="E9">
        <v>3</v>
      </c>
      <c r="F9" s="420" t="s">
        <v>958</v>
      </c>
      <c r="G9" t="s">
        <v>331</v>
      </c>
      <c r="H9">
        <v>0</v>
      </c>
      <c r="I9" t="s">
        <v>280</v>
      </c>
      <c r="J9" t="s">
        <v>710</v>
      </c>
      <c r="K9" t="s">
        <v>717</v>
      </c>
      <c r="L9">
        <v>3</v>
      </c>
      <c r="M9" t="s">
        <v>25</v>
      </c>
      <c r="U9" s="89" t="s">
        <v>197</v>
      </c>
      <c r="V9" s="89" t="s">
        <v>722</v>
      </c>
      <c r="W9" t="s">
        <v>90</v>
      </c>
      <c r="X9" s="314" t="s">
        <v>91</v>
      </c>
    </row>
    <row r="10" spans="5:24" ht="12.75" customHeight="1">
      <c r="E10">
        <v>4</v>
      </c>
      <c r="F10" t="s">
        <v>246</v>
      </c>
      <c r="G10" t="s">
        <v>331</v>
      </c>
      <c r="L10">
        <v>4</v>
      </c>
      <c r="M10" t="s">
        <v>713</v>
      </c>
      <c r="U10" s="314" t="s">
        <v>197</v>
      </c>
      <c r="V10" s="89" t="s">
        <v>77</v>
      </c>
      <c r="W10" t="s">
        <v>90</v>
      </c>
      <c r="X10" s="314" t="s">
        <v>76</v>
      </c>
    </row>
    <row r="11" spans="5:24" ht="12.75" customHeight="1">
      <c r="E11">
        <v>7</v>
      </c>
      <c r="F11" t="s">
        <v>1005</v>
      </c>
      <c r="G11" t="s">
        <v>331</v>
      </c>
      <c r="L11">
        <v>5</v>
      </c>
      <c r="M11" t="s">
        <v>714</v>
      </c>
      <c r="U11" s="89" t="s">
        <v>197</v>
      </c>
      <c r="V11" s="89" t="s">
        <v>27</v>
      </c>
      <c r="W11" t="s">
        <v>496</v>
      </c>
      <c r="X11" s="314" t="s">
        <v>92</v>
      </c>
    </row>
    <row r="12" spans="21:24" ht="12.75" customHeight="1">
      <c r="U12" s="89" t="s">
        <v>197</v>
      </c>
      <c r="V12" s="89" t="s">
        <v>880</v>
      </c>
      <c r="W12" t="s">
        <v>496</v>
      </c>
      <c r="X12" s="314" t="s">
        <v>76</v>
      </c>
    </row>
    <row r="13" spans="21:24" ht="11.25" customHeight="1">
      <c r="U13" s="89" t="s">
        <v>198</v>
      </c>
      <c r="V13" s="89" t="s">
        <v>199</v>
      </c>
      <c r="W13" t="s">
        <v>90</v>
      </c>
      <c r="X13" s="314" t="s">
        <v>91</v>
      </c>
    </row>
    <row r="14" spans="21:24" ht="12.75" customHeight="1">
      <c r="U14" s="89" t="s">
        <v>198</v>
      </c>
      <c r="V14" s="89" t="s">
        <v>79</v>
      </c>
      <c r="W14" t="s">
        <v>90</v>
      </c>
      <c r="X14" s="314" t="s">
        <v>76</v>
      </c>
    </row>
    <row r="15" spans="21:24" ht="12.75" customHeight="1">
      <c r="U15" s="89" t="s">
        <v>200</v>
      </c>
      <c r="V15" s="89" t="s">
        <v>201</v>
      </c>
      <c r="W15" t="s">
        <v>90</v>
      </c>
      <c r="X15" s="314" t="s">
        <v>91</v>
      </c>
    </row>
    <row r="16" spans="7:24" ht="12.75" customHeight="1">
      <c r="G16" t="s">
        <v>189</v>
      </c>
      <c r="U16" s="89" t="s">
        <v>200</v>
      </c>
      <c r="V16" s="89" t="s">
        <v>80</v>
      </c>
      <c r="W16" t="s">
        <v>90</v>
      </c>
      <c r="X16" s="314" t="s">
        <v>76</v>
      </c>
    </row>
    <row r="17" spans="7:24" ht="12.75" customHeight="1">
      <c r="G17" t="s">
        <v>487</v>
      </c>
      <c r="U17" s="89" t="s">
        <v>207</v>
      </c>
      <c r="V17" s="89" t="s">
        <v>208</v>
      </c>
      <c r="W17" t="s">
        <v>90</v>
      </c>
      <c r="X17" s="314" t="s">
        <v>91</v>
      </c>
    </row>
    <row r="18" spans="7:24" ht="12.75" customHeight="1">
      <c r="G18" t="s">
        <v>938</v>
      </c>
      <c r="U18" s="89" t="s">
        <v>207</v>
      </c>
      <c r="V18" s="89" t="s">
        <v>81</v>
      </c>
      <c r="W18" t="s">
        <v>90</v>
      </c>
      <c r="X18" s="314" t="s">
        <v>76</v>
      </c>
    </row>
    <row r="19" spans="7:24" ht="12.75" customHeight="1">
      <c r="G19" t="s">
        <v>210</v>
      </c>
      <c r="U19" s="89" t="s">
        <v>209</v>
      </c>
      <c r="V19" s="89" t="s">
        <v>728</v>
      </c>
      <c r="W19" t="s">
        <v>497</v>
      </c>
      <c r="X19" s="314" t="s">
        <v>92</v>
      </c>
    </row>
    <row r="20" spans="7:24" ht="12.75" customHeight="1">
      <c r="G20" t="s">
        <v>211</v>
      </c>
      <c r="U20" s="89" t="s">
        <v>209</v>
      </c>
      <c r="V20" s="89" t="s">
        <v>723</v>
      </c>
      <c r="W20" t="s">
        <v>90</v>
      </c>
      <c r="X20" s="314" t="s">
        <v>91</v>
      </c>
    </row>
    <row r="21" spans="21:24" ht="12.75" customHeight="1">
      <c r="U21" s="89" t="s">
        <v>209</v>
      </c>
      <c r="V21" s="89" t="s">
        <v>724</v>
      </c>
      <c r="W21" t="s">
        <v>90</v>
      </c>
      <c r="X21" s="314" t="s">
        <v>91</v>
      </c>
    </row>
    <row r="22" spans="21:24" ht="12.75" customHeight="1">
      <c r="U22" s="314" t="s">
        <v>209</v>
      </c>
      <c r="V22" s="89" t="s">
        <v>78</v>
      </c>
      <c r="W22" t="s">
        <v>90</v>
      </c>
      <c r="X22" s="314" t="s">
        <v>76</v>
      </c>
    </row>
    <row r="23" spans="21:24" ht="12.75" customHeight="1">
      <c r="U23" s="89" t="s">
        <v>209</v>
      </c>
      <c r="V23" s="89" t="s">
        <v>725</v>
      </c>
      <c r="W23" t="s">
        <v>496</v>
      </c>
      <c r="X23" s="314" t="s">
        <v>92</v>
      </c>
    </row>
    <row r="24" ht="12.75" customHeight="1"/>
    <row r="26" spans="1:2" ht="12.75">
      <c r="A26" t="s">
        <v>927</v>
      </c>
      <c r="B26" t="b">
        <v>1</v>
      </c>
    </row>
    <row r="27" spans="1:2" ht="12.75">
      <c r="A27" t="s">
        <v>928</v>
      </c>
      <c r="B27" t="b">
        <v>0</v>
      </c>
    </row>
    <row r="29" spans="2:12" ht="12.75">
      <c r="B29" t="s">
        <v>189</v>
      </c>
      <c r="L29" t="s">
        <v>189</v>
      </c>
    </row>
    <row r="30" spans="1:30" ht="12.75">
      <c r="A30">
        <v>1</v>
      </c>
      <c r="B30" t="s">
        <v>970</v>
      </c>
      <c r="C30" t="s">
        <v>971</v>
      </c>
      <c r="F30" t="s">
        <v>189</v>
      </c>
      <c r="G30" t="s">
        <v>833</v>
      </c>
      <c r="H30" t="s">
        <v>85</v>
      </c>
      <c r="L30" t="s">
        <v>949</v>
      </c>
      <c r="AD30">
        <f>IF(E57=TRUE,"GESB",IF(E58=TRUE,"GESA",IF(F56=TRUE,"DEVB","")))</f>
      </c>
    </row>
    <row r="31" spans="1:12" ht="12.75">
      <c r="A31">
        <v>2</v>
      </c>
      <c r="B31" t="s">
        <v>949</v>
      </c>
      <c r="C31" t="s">
        <v>214</v>
      </c>
      <c r="E31" s="314" t="s">
        <v>467</v>
      </c>
      <c r="F31" t="s">
        <v>28</v>
      </c>
      <c r="G31">
        <v>50</v>
      </c>
      <c r="H31" t="s">
        <v>830</v>
      </c>
      <c r="L31" t="s">
        <v>944</v>
      </c>
    </row>
    <row r="32" spans="1:12" ht="12.75">
      <c r="A32">
        <v>3</v>
      </c>
      <c r="B32" t="s">
        <v>944</v>
      </c>
      <c r="C32" t="s">
        <v>944</v>
      </c>
      <c r="E32" s="314" t="s">
        <v>468</v>
      </c>
      <c r="F32" t="s">
        <v>87</v>
      </c>
      <c r="G32">
        <v>50</v>
      </c>
      <c r="H32" t="s">
        <v>831</v>
      </c>
      <c r="L32" t="s">
        <v>945</v>
      </c>
    </row>
    <row r="33" spans="1:12" ht="12.75">
      <c r="A33">
        <v>4</v>
      </c>
      <c r="B33" t="s">
        <v>945</v>
      </c>
      <c r="C33" t="s">
        <v>945</v>
      </c>
      <c r="E33" s="314" t="s">
        <v>469</v>
      </c>
      <c r="F33" t="s">
        <v>1154</v>
      </c>
      <c r="G33">
        <v>50</v>
      </c>
      <c r="H33" t="s">
        <v>832</v>
      </c>
      <c r="L33" t="s">
        <v>956</v>
      </c>
    </row>
    <row r="34" spans="1:12" ht="12.75">
      <c r="A34">
        <v>5</v>
      </c>
      <c r="B34" t="s">
        <v>956</v>
      </c>
      <c r="C34" t="s">
        <v>215</v>
      </c>
      <c r="E34" s="314" t="s">
        <v>82</v>
      </c>
      <c r="F34" t="s">
        <v>29</v>
      </c>
      <c r="G34">
        <v>50</v>
      </c>
      <c r="H34" t="s">
        <v>335</v>
      </c>
      <c r="L34" t="s">
        <v>216</v>
      </c>
    </row>
    <row r="35" spans="1:12" ht="12.75">
      <c r="A35">
        <v>6</v>
      </c>
      <c r="B35" t="s">
        <v>216</v>
      </c>
      <c r="C35" t="s">
        <v>216</v>
      </c>
      <c r="E35" s="314" t="s">
        <v>1151</v>
      </c>
      <c r="F35" t="s">
        <v>1152</v>
      </c>
      <c r="G35">
        <v>50</v>
      </c>
      <c r="H35" t="s">
        <v>1153</v>
      </c>
      <c r="L35" t="s">
        <v>217</v>
      </c>
    </row>
    <row r="36" spans="1:12" ht="12.75">
      <c r="A36">
        <v>7</v>
      </c>
      <c r="B36" t="s">
        <v>217</v>
      </c>
      <c r="C36" t="s">
        <v>932</v>
      </c>
      <c r="L36" t="s">
        <v>218</v>
      </c>
    </row>
    <row r="37" spans="1:12" ht="12.75">
      <c r="A37">
        <v>8</v>
      </c>
      <c r="B37" t="s">
        <v>218</v>
      </c>
      <c r="C37" t="s">
        <v>933</v>
      </c>
      <c r="L37" t="s">
        <v>219</v>
      </c>
    </row>
    <row r="38" spans="1:12" ht="12.75">
      <c r="A38">
        <v>9</v>
      </c>
      <c r="B38" t="s">
        <v>219</v>
      </c>
      <c r="C38" t="s">
        <v>934</v>
      </c>
      <c r="L38" t="s">
        <v>242</v>
      </c>
    </row>
    <row r="39" spans="1:12" ht="12.75">
      <c r="A39">
        <v>10</v>
      </c>
      <c r="B39" t="s">
        <v>242</v>
      </c>
      <c r="C39" t="s">
        <v>948</v>
      </c>
      <c r="L39" t="s">
        <v>953</v>
      </c>
    </row>
    <row r="40" spans="1:12" ht="12.75">
      <c r="A40">
        <v>11</v>
      </c>
      <c r="B40" t="s">
        <v>953</v>
      </c>
      <c r="C40" t="s">
        <v>952</v>
      </c>
      <c r="L40" t="s">
        <v>946</v>
      </c>
    </row>
    <row r="41" spans="1:12" ht="12.75">
      <c r="A41">
        <v>12</v>
      </c>
      <c r="B41" t="s">
        <v>946</v>
      </c>
      <c r="C41" t="s">
        <v>951</v>
      </c>
      <c r="L41" t="s">
        <v>243</v>
      </c>
    </row>
    <row r="42" spans="1:12" ht="12.75">
      <c r="A42">
        <v>13</v>
      </c>
      <c r="B42" t="s">
        <v>243</v>
      </c>
      <c r="C42" t="s">
        <v>947</v>
      </c>
      <c r="L42" t="s">
        <v>244</v>
      </c>
    </row>
    <row r="43" spans="1:12" ht="12.75">
      <c r="A43">
        <v>14</v>
      </c>
      <c r="B43" t="s">
        <v>244</v>
      </c>
      <c r="C43" t="s">
        <v>950</v>
      </c>
      <c r="L43" t="s">
        <v>220</v>
      </c>
    </row>
    <row r="44" spans="1:12" ht="12.75">
      <c r="A44">
        <v>15</v>
      </c>
      <c r="B44" t="s">
        <v>220</v>
      </c>
      <c r="L44" t="s">
        <v>464</v>
      </c>
    </row>
    <row r="45" spans="1:2" ht="12.75">
      <c r="A45">
        <v>16</v>
      </c>
      <c r="B45" t="s">
        <v>464</v>
      </c>
    </row>
    <row r="47" spans="1:6" ht="12.75">
      <c r="A47">
        <v>0</v>
      </c>
      <c r="B47" t="s">
        <v>189</v>
      </c>
      <c r="C47">
        <v>0</v>
      </c>
      <c r="D47">
        <v>0</v>
      </c>
      <c r="E47" t="s">
        <v>189</v>
      </c>
      <c r="F47">
        <v>0</v>
      </c>
    </row>
    <row r="48" spans="1:6" ht="12.75">
      <c r="A48">
        <v>1</v>
      </c>
      <c r="B48" t="s">
        <v>314</v>
      </c>
      <c r="C48">
        <v>1</v>
      </c>
      <c r="D48">
        <v>1</v>
      </c>
      <c r="E48" t="s">
        <v>920</v>
      </c>
      <c r="F48">
        <v>1</v>
      </c>
    </row>
    <row r="49" spans="1:6" ht="12.75">
      <c r="A49">
        <v>2</v>
      </c>
      <c r="B49" t="s">
        <v>679</v>
      </c>
      <c r="C49">
        <f>1/2.204624</f>
        <v>0.45359208645102295</v>
      </c>
      <c r="D49">
        <v>2</v>
      </c>
      <c r="E49" t="s">
        <v>921</v>
      </c>
      <c r="F49">
        <v>0.09290304</v>
      </c>
    </row>
    <row r="52" spans="2:7" ht="12.75">
      <c r="B52" s="146" t="b">
        <v>0</v>
      </c>
      <c r="D52" s="146" t="b">
        <v>0</v>
      </c>
      <c r="E52" s="146" t="b">
        <v>0</v>
      </c>
      <c r="F52" s="146" t="b">
        <v>0</v>
      </c>
      <c r="G52" s="146" t="b">
        <v>0</v>
      </c>
    </row>
    <row r="53" spans="2:7" ht="12.75">
      <c r="B53" s="146" t="b">
        <v>0</v>
      </c>
      <c r="D53" s="146" t="b">
        <v>0</v>
      </c>
      <c r="E53" s="146" t="b">
        <v>0</v>
      </c>
      <c r="F53" s="146" t="b">
        <v>0</v>
      </c>
      <c r="G53" s="146" t="b">
        <v>0</v>
      </c>
    </row>
    <row r="54" spans="2:7" ht="12.75">
      <c r="B54" s="146" t="b">
        <v>0</v>
      </c>
      <c r="D54" s="146" t="b">
        <v>0</v>
      </c>
      <c r="F54" s="146" t="b">
        <v>0</v>
      </c>
      <c r="G54" s="146" t="b">
        <v>0</v>
      </c>
    </row>
    <row r="55" spans="1:24" ht="12.75">
      <c r="A55" t="s">
        <v>245</v>
      </c>
      <c r="B55" t="s">
        <v>157</v>
      </c>
      <c r="C55" t="s">
        <v>460</v>
      </c>
      <c r="D55" t="s">
        <v>246</v>
      </c>
      <c r="E55" t="s">
        <v>247</v>
      </c>
      <c r="F55" t="s">
        <v>248</v>
      </c>
      <c r="G55" t="s">
        <v>249</v>
      </c>
      <c r="I55" s="314" t="s">
        <v>755</v>
      </c>
      <c r="J55" t="s">
        <v>245</v>
      </c>
      <c r="K55" s="314" t="s">
        <v>762</v>
      </c>
      <c r="L55" t="s">
        <v>157</v>
      </c>
      <c r="M55" s="314" t="s">
        <v>765</v>
      </c>
      <c r="N55" t="s">
        <v>460</v>
      </c>
      <c r="O55" s="314" t="s">
        <v>767</v>
      </c>
      <c r="P55" t="s">
        <v>246</v>
      </c>
      <c r="Q55" s="314" t="s">
        <v>771</v>
      </c>
      <c r="R55" t="s">
        <v>247</v>
      </c>
      <c r="S55" s="314" t="s">
        <v>774</v>
      </c>
      <c r="T55" t="s">
        <v>248</v>
      </c>
      <c r="U55" s="314" t="s">
        <v>777</v>
      </c>
      <c r="V55" t="s">
        <v>913</v>
      </c>
      <c r="W55" t="s">
        <v>816</v>
      </c>
      <c r="X55" t="s">
        <v>817</v>
      </c>
    </row>
    <row r="56" spans="1:22" ht="12.75">
      <c r="A56" s="146" t="b">
        <v>0</v>
      </c>
      <c r="B56" s="146" t="b">
        <v>0</v>
      </c>
      <c r="C56" s="146" t="b">
        <v>0</v>
      </c>
      <c r="D56" s="146" t="b">
        <v>0</v>
      </c>
      <c r="E56" s="146" t="b">
        <v>0</v>
      </c>
      <c r="F56" s="146" t="b">
        <v>0</v>
      </c>
      <c r="G56" s="146" t="b">
        <v>0</v>
      </c>
      <c r="H56" s="146"/>
      <c r="I56" s="314" t="s">
        <v>756</v>
      </c>
      <c r="J56" t="s">
        <v>719</v>
      </c>
      <c r="K56" s="314" t="s">
        <v>763</v>
      </c>
      <c r="L56" t="s">
        <v>455</v>
      </c>
      <c r="M56" s="314" t="s">
        <v>766</v>
      </c>
      <c r="N56" t="s">
        <v>158</v>
      </c>
      <c r="O56" s="314" t="s">
        <v>768</v>
      </c>
      <c r="P56" t="s">
        <v>457</v>
      </c>
      <c r="Q56" s="314" t="s">
        <v>772</v>
      </c>
      <c r="R56" t="s">
        <v>929</v>
      </c>
      <c r="S56" s="314" t="s">
        <v>775</v>
      </c>
      <c r="T56" t="s">
        <v>458</v>
      </c>
      <c r="U56" s="314" t="s">
        <v>778</v>
      </c>
      <c r="V56" t="s">
        <v>912</v>
      </c>
    </row>
    <row r="57" spans="1:22" ht="12.75">
      <c r="A57" s="146"/>
      <c r="B57" s="146" t="b">
        <v>0</v>
      </c>
      <c r="C57" s="146"/>
      <c r="D57" s="146" t="b">
        <v>0</v>
      </c>
      <c r="E57" s="146" t="b">
        <v>0</v>
      </c>
      <c r="F57" s="146" t="b">
        <v>0</v>
      </c>
      <c r="G57" s="146" t="b">
        <v>0</v>
      </c>
      <c r="H57" s="146">
        <v>0.15</v>
      </c>
      <c r="I57" s="314" t="s">
        <v>757</v>
      </c>
      <c r="J57" t="s">
        <v>720</v>
      </c>
      <c r="K57" s="314" t="s">
        <v>333</v>
      </c>
      <c r="L57" t="s">
        <v>334</v>
      </c>
      <c r="O57" s="314" t="s">
        <v>769</v>
      </c>
      <c r="P57" t="s">
        <v>931</v>
      </c>
      <c r="Q57" s="314" t="s">
        <v>773</v>
      </c>
      <c r="R57" t="s">
        <v>459</v>
      </c>
      <c r="S57" s="314" t="s">
        <v>776</v>
      </c>
      <c r="T57" t="s">
        <v>955</v>
      </c>
      <c r="U57" s="314" t="s">
        <v>915</v>
      </c>
      <c r="V57" t="s">
        <v>914</v>
      </c>
    </row>
    <row r="58" spans="1:16" ht="12.75">
      <c r="A58" s="146"/>
      <c r="B58" s="146" t="b">
        <v>0</v>
      </c>
      <c r="C58" s="146"/>
      <c r="D58" s="146" t="b">
        <v>0</v>
      </c>
      <c r="E58" s="146" t="b">
        <v>0</v>
      </c>
      <c r="F58" s="146" t="b">
        <v>0</v>
      </c>
      <c r="G58" s="146" t="b">
        <v>0</v>
      </c>
      <c r="H58" s="146">
        <v>0.15</v>
      </c>
      <c r="I58" s="314" t="s">
        <v>758</v>
      </c>
      <c r="J58" t="s">
        <v>451</v>
      </c>
      <c r="K58" s="314" t="s">
        <v>332</v>
      </c>
      <c r="L58" t="s">
        <v>456</v>
      </c>
      <c r="O58" s="314" t="s">
        <v>769</v>
      </c>
      <c r="P58" t="s">
        <v>327</v>
      </c>
    </row>
    <row r="59" spans="1:16" ht="12.75">
      <c r="A59" s="146"/>
      <c r="B59" s="146" t="b">
        <v>0</v>
      </c>
      <c r="C59" s="146"/>
      <c r="D59" s="146" t="b">
        <v>0</v>
      </c>
      <c r="E59" s="146"/>
      <c r="F59" s="146" t="b">
        <v>0</v>
      </c>
      <c r="G59" s="146" t="b">
        <v>0</v>
      </c>
      <c r="H59" s="146">
        <v>0.1</v>
      </c>
      <c r="I59" s="314" t="s">
        <v>759</v>
      </c>
      <c r="J59" t="s">
        <v>452</v>
      </c>
      <c r="K59" s="314" t="s">
        <v>764</v>
      </c>
      <c r="L59" t="s">
        <v>462</v>
      </c>
      <c r="O59" s="314" t="s">
        <v>770</v>
      </c>
      <c r="P59" t="s">
        <v>930</v>
      </c>
    </row>
    <row r="60" spans="2:10" ht="12.75">
      <c r="B60" s="146" t="b">
        <v>0</v>
      </c>
      <c r="D60" s="146" t="b">
        <v>0</v>
      </c>
      <c r="I60" s="314" t="s">
        <v>760</v>
      </c>
      <c r="J60" t="s">
        <v>453</v>
      </c>
    </row>
    <row r="61" spans="2:15" ht="12.75">
      <c r="B61" s="146" t="b">
        <v>0</v>
      </c>
      <c r="I61" s="314" t="s">
        <v>761</v>
      </c>
      <c r="J61" t="s">
        <v>454</v>
      </c>
      <c r="O61" s="314"/>
    </row>
    <row r="62" spans="2:7" ht="12.75">
      <c r="B62" s="565" t="s">
        <v>257</v>
      </c>
      <c r="C62" s="565"/>
      <c r="D62" s="565" t="s">
        <v>258</v>
      </c>
      <c r="E62" s="565"/>
      <c r="F62" s="242"/>
      <c r="G62" s="242"/>
    </row>
    <row r="63" spans="2:5" ht="12.75">
      <c r="B63" t="s">
        <v>224</v>
      </c>
      <c r="C63" t="s">
        <v>225</v>
      </c>
      <c r="D63" t="s">
        <v>224</v>
      </c>
      <c r="E63" t="s">
        <v>225</v>
      </c>
    </row>
    <row r="64" spans="1:5" ht="12.75">
      <c r="A64" t="str">
        <f>'3.1 Rapport détaillé des coûts'!U5</f>
        <v>A. Acquisition équipement/matériel</v>
      </c>
      <c r="B64">
        <f>'3.1 Rapport détaillé des coûts'!V5</f>
        <v>0</v>
      </c>
      <c r="C64">
        <f>'3.1 Rapport détaillé des coûts'!W5</f>
        <v>0</v>
      </c>
      <c r="D64">
        <f>'3.1 Rapport détaillé des coûts'!Y5</f>
        <v>0</v>
      </c>
      <c r="E64">
        <f>'3.1 Rapport détaillé des coûts'!Z5</f>
        <v>0</v>
      </c>
    </row>
    <row r="65" spans="1:5" ht="12.75">
      <c r="A65" t="str">
        <f>'3.1 Rapport détaillé des coûts'!U6</f>
        <v>B. Acquisition de l'équipement de mesurage</v>
      </c>
      <c r="B65">
        <f>'3.1 Rapport détaillé des coûts'!V6</f>
        <v>0</v>
      </c>
      <c r="C65">
        <f>'3.1 Rapport détaillé des coûts'!W6</f>
        <v>0</v>
      </c>
      <c r="D65">
        <f>'3.1 Rapport détaillé des coûts'!Y6</f>
        <v>0</v>
      </c>
      <c r="E65">
        <f>'3.1 Rapport détaillé des coûts'!Z6</f>
        <v>0</v>
      </c>
    </row>
    <row r="66" spans="1:5" ht="12.75">
      <c r="A66" t="str">
        <f>'3.1 Rapport détaillé des coûts'!U7</f>
        <v>C. Mesurage, quantification et vérification</v>
      </c>
      <c r="B66">
        <f>'3.1 Rapport détaillé des coûts'!V7</f>
        <v>0</v>
      </c>
      <c r="C66">
        <f>'3.1 Rapport détaillé des coûts'!W7</f>
        <v>0</v>
      </c>
      <c r="D66">
        <f>'3.1 Rapport détaillé des coûts'!Y7</f>
        <v>0</v>
      </c>
      <c r="E66">
        <f>'3.1 Rapport détaillé des coûts'!Z7</f>
        <v>0</v>
      </c>
    </row>
    <row r="67" spans="1:5" ht="12.75">
      <c r="A67" t="str">
        <f>'3.1 Rapport détaillé des coûts'!U8</f>
        <v>D. Ingénierie ou services professionnels</v>
      </c>
      <c r="B67">
        <f>'3.1 Rapport détaillé des coûts'!V8</f>
        <v>0</v>
      </c>
      <c r="C67">
        <f>'3.1 Rapport détaillé des coûts'!W8</f>
        <v>0</v>
      </c>
      <c r="D67">
        <f>'3.1 Rapport détaillé des coûts'!Y8</f>
        <v>0</v>
      </c>
      <c r="E67">
        <f>'3.1 Rapport détaillé des coûts'!Z8</f>
        <v>0</v>
      </c>
    </row>
    <row r="68" spans="1:5" ht="12.75">
      <c r="A68" t="str">
        <f>'3.1 Rapport détaillé des coûts'!U9</f>
        <v>E. Installation et mise en fonction</v>
      </c>
      <c r="B68">
        <f>'3.1 Rapport détaillé des coûts'!V9</f>
        <v>0</v>
      </c>
      <c r="C68">
        <f>'3.1 Rapport détaillé des coûts'!W9</f>
        <v>0</v>
      </c>
      <c r="D68">
        <f>'3.1 Rapport détaillé des coûts'!Y9</f>
        <v>0</v>
      </c>
      <c r="E68">
        <f>'3.1 Rapport détaillé des coûts'!Z9</f>
        <v>0</v>
      </c>
    </row>
    <row r="69" spans="1:5" ht="12.75">
      <c r="A69" t="str">
        <f>'3.1 Rapport détaillé des coûts'!U10</f>
        <v>F. Contingences</v>
      </c>
      <c r="B69">
        <f>'3.1 Rapport détaillé des coûts'!V10</f>
        <v>0</v>
      </c>
      <c r="C69">
        <f>'3.1 Rapport détaillé des coûts'!W10</f>
        <v>0</v>
      </c>
      <c r="D69">
        <f>'3.1 Rapport détaillé des coûts'!Y10</f>
        <v>0</v>
      </c>
      <c r="E69">
        <f>'3.1 Rapport détaillé des coûts'!Z10</f>
        <v>0</v>
      </c>
    </row>
    <row r="70" spans="1:5" ht="12.75">
      <c r="A70" t="s">
        <v>126</v>
      </c>
      <c r="B70">
        <f>SUM(B64:B69)</f>
        <v>0</v>
      </c>
      <c r="C70">
        <f>SUM(C64:C69)</f>
        <v>0</v>
      </c>
      <c r="D70">
        <f>SUM(D64:D69)</f>
        <v>0</v>
      </c>
      <c r="E70">
        <f>SUM(E64:E69)</f>
        <v>0</v>
      </c>
    </row>
    <row r="74" spans="1:31" ht="12.75" customHeight="1">
      <c r="A74" s="415" t="s">
        <v>282</v>
      </c>
      <c r="B74" s="415" t="s">
        <v>283</v>
      </c>
      <c r="C74" s="415" t="s">
        <v>284</v>
      </c>
      <c r="D74" s="415" t="s">
        <v>285</v>
      </c>
      <c r="E74" s="415" t="s">
        <v>510</v>
      </c>
      <c r="F74" s="415" t="s">
        <v>286</v>
      </c>
      <c r="G74" s="415" t="s">
        <v>287</v>
      </c>
      <c r="H74" s="415" t="s">
        <v>288</v>
      </c>
      <c r="I74" s="415" t="s">
        <v>289</v>
      </c>
      <c r="J74" s="415" t="s">
        <v>290</v>
      </c>
      <c r="K74" s="415" t="s">
        <v>291</v>
      </c>
      <c r="L74" s="415" t="s">
        <v>292</v>
      </c>
      <c r="M74" s="415" t="s">
        <v>293</v>
      </c>
      <c r="N74" s="415" t="s">
        <v>294</v>
      </c>
      <c r="O74" s="415" t="s">
        <v>295</v>
      </c>
      <c r="P74" s="415" t="s">
        <v>296</v>
      </c>
      <c r="Q74" s="415" t="s">
        <v>297</v>
      </c>
      <c r="R74" s="415" t="s">
        <v>298</v>
      </c>
      <c r="S74" s="415" t="s">
        <v>299</v>
      </c>
      <c r="T74" s="415" t="s">
        <v>300</v>
      </c>
      <c r="U74" s="415" t="s">
        <v>301</v>
      </c>
      <c r="V74" s="415" t="s">
        <v>302</v>
      </c>
      <c r="W74" s="415" t="s">
        <v>303</v>
      </c>
      <c r="X74" s="415" t="s">
        <v>304</v>
      </c>
      <c r="Z74" s="248" t="s">
        <v>369</v>
      </c>
      <c r="AA74" s="248" t="s">
        <v>370</v>
      </c>
      <c r="AB74" s="248"/>
      <c r="AC74" s="248" t="s">
        <v>371</v>
      </c>
      <c r="AD74" s="248" t="s">
        <v>372</v>
      </c>
      <c r="AE74" s="248" t="s">
        <v>373</v>
      </c>
    </row>
    <row r="75" spans="1:31" ht="12.75" customHeight="1">
      <c r="A75" s="249">
        <v>1</v>
      </c>
      <c r="B75" s="250" t="s">
        <v>305</v>
      </c>
      <c r="C75" s="250" t="s">
        <v>120</v>
      </c>
      <c r="D75" s="412">
        <v>3.6</v>
      </c>
      <c r="E75" s="413">
        <v>2.04</v>
      </c>
      <c r="F75" s="412">
        <v>1</v>
      </c>
      <c r="G75" s="412">
        <v>3413</v>
      </c>
      <c r="H75" s="372" t="s">
        <v>511</v>
      </c>
      <c r="I75" s="372" t="s">
        <v>512</v>
      </c>
      <c r="J75" s="250"/>
      <c r="K75" s="412">
        <v>2</v>
      </c>
      <c r="L75" s="412">
        <v>0.0002</v>
      </c>
      <c r="M75" s="412">
        <v>0.0001</v>
      </c>
      <c r="N75" s="413">
        <v>2.04</v>
      </c>
      <c r="O75" s="372" t="s">
        <v>710</v>
      </c>
      <c r="P75" s="413">
        <v>0</v>
      </c>
      <c r="Q75" s="372" t="s">
        <v>306</v>
      </c>
      <c r="R75" s="372" t="s">
        <v>306</v>
      </c>
      <c r="S75" s="372" t="s">
        <v>306</v>
      </c>
      <c r="T75" s="372" t="s">
        <v>306</v>
      </c>
      <c r="U75" s="372" t="s">
        <v>306</v>
      </c>
      <c r="V75" s="372" t="s">
        <v>306</v>
      </c>
      <c r="W75" s="414">
        <v>0</v>
      </c>
      <c r="X75" s="412">
        <v>0</v>
      </c>
      <c r="Y75" s="146"/>
      <c r="Z75" s="564">
        <v>440</v>
      </c>
      <c r="AA75" t="s">
        <v>1013</v>
      </c>
      <c r="AB75" s="146" t="s">
        <v>314</v>
      </c>
      <c r="AC75" t="s">
        <v>849</v>
      </c>
      <c r="AD75" s="559">
        <v>0</v>
      </c>
      <c r="AE75" t="s">
        <v>850</v>
      </c>
    </row>
    <row r="76" spans="1:31" ht="12.75" customHeight="1">
      <c r="A76" s="249">
        <v>2</v>
      </c>
      <c r="B76" s="250" t="s">
        <v>121</v>
      </c>
      <c r="C76" s="250" t="s">
        <v>307</v>
      </c>
      <c r="D76" s="412">
        <v>37.89</v>
      </c>
      <c r="E76" s="413">
        <v>1889.32</v>
      </c>
      <c r="F76" s="412">
        <v>10.525</v>
      </c>
      <c r="G76" s="412">
        <v>35921.944</v>
      </c>
      <c r="H76" s="372" t="s">
        <v>513</v>
      </c>
      <c r="I76" s="372" t="s">
        <v>514</v>
      </c>
      <c r="J76" s="250"/>
      <c r="K76" s="412">
        <v>1878</v>
      </c>
      <c r="L76" s="412">
        <v>0.037</v>
      </c>
      <c r="M76" s="412">
        <v>0.034</v>
      </c>
      <c r="N76" s="413">
        <v>1889.32</v>
      </c>
      <c r="O76" s="372" t="s">
        <v>515</v>
      </c>
      <c r="P76" s="413">
        <v>0</v>
      </c>
      <c r="Q76" s="372" t="s">
        <v>516</v>
      </c>
      <c r="R76" s="372" t="s">
        <v>517</v>
      </c>
      <c r="S76" s="372" t="s">
        <v>518</v>
      </c>
      <c r="T76" s="372" t="s">
        <v>519</v>
      </c>
      <c r="U76" s="372" t="s">
        <v>520</v>
      </c>
      <c r="V76" s="372" t="s">
        <v>521</v>
      </c>
      <c r="W76" s="414">
        <v>0.1285</v>
      </c>
      <c r="X76" s="412">
        <v>244.4078995</v>
      </c>
      <c r="Y76" s="146"/>
      <c r="Z76" s="564">
        <v>441</v>
      </c>
      <c r="AA76" t="s">
        <v>1014</v>
      </c>
      <c r="AB76" s="146" t="s">
        <v>314</v>
      </c>
      <c r="AC76" t="s">
        <v>291</v>
      </c>
      <c r="AD76" s="559">
        <v>1</v>
      </c>
      <c r="AE76" t="s">
        <v>1127</v>
      </c>
    </row>
    <row r="77" spans="1:31" ht="12.75" customHeight="1">
      <c r="A77" s="249">
        <v>3</v>
      </c>
      <c r="B77" s="250" t="s">
        <v>323</v>
      </c>
      <c r="C77" s="250" t="s">
        <v>308</v>
      </c>
      <c r="D77" s="412">
        <v>38.5</v>
      </c>
      <c r="E77" s="413">
        <v>2734.736</v>
      </c>
      <c r="F77" s="412">
        <v>10.69</v>
      </c>
      <c r="G77" s="412">
        <v>36500.14</v>
      </c>
      <c r="H77" s="372" t="s">
        <v>324</v>
      </c>
      <c r="I77" s="372" t="s">
        <v>522</v>
      </c>
      <c r="J77" s="250"/>
      <c r="K77" s="412">
        <v>2725</v>
      </c>
      <c r="L77" s="412">
        <v>0.006</v>
      </c>
      <c r="M77" s="412">
        <v>0.031</v>
      </c>
      <c r="N77" s="413">
        <v>2734.736</v>
      </c>
      <c r="O77" s="372" t="s">
        <v>523</v>
      </c>
      <c r="P77" s="413">
        <v>1</v>
      </c>
      <c r="Q77" s="372" t="s">
        <v>306</v>
      </c>
      <c r="R77" s="372" t="s">
        <v>306</v>
      </c>
      <c r="S77" s="372" t="s">
        <v>306</v>
      </c>
      <c r="T77" s="372" t="s">
        <v>306</v>
      </c>
      <c r="U77" s="372" t="s">
        <v>306</v>
      </c>
      <c r="V77" s="372" t="s">
        <v>306</v>
      </c>
      <c r="W77" s="414">
        <v>0.107</v>
      </c>
      <c r="X77" s="412">
        <v>292.616752</v>
      </c>
      <c r="Y77" s="146"/>
      <c r="Z77" s="564">
        <v>442</v>
      </c>
      <c r="AA77" t="s">
        <v>1015</v>
      </c>
      <c r="AB77" t="s">
        <v>314</v>
      </c>
      <c r="AC77" t="s">
        <v>1062</v>
      </c>
      <c r="AD77" s="559">
        <v>1</v>
      </c>
      <c r="AE77" t="s">
        <v>1127</v>
      </c>
    </row>
    <row r="78" spans="1:31" ht="12.75" customHeight="1">
      <c r="A78" s="249">
        <v>4</v>
      </c>
      <c r="B78" s="250" t="s">
        <v>83</v>
      </c>
      <c r="C78" s="250" t="s">
        <v>308</v>
      </c>
      <c r="D78" s="412">
        <v>42.5</v>
      </c>
      <c r="E78" s="413">
        <v>3146.36</v>
      </c>
      <c r="F78" s="412">
        <v>11.805555555</v>
      </c>
      <c r="G78" s="412">
        <v>40292.36111</v>
      </c>
      <c r="H78" s="372" t="s">
        <v>324</v>
      </c>
      <c r="I78" s="372" t="s">
        <v>522</v>
      </c>
      <c r="J78" s="250"/>
      <c r="K78" s="412">
        <v>3124</v>
      </c>
      <c r="L78" s="412">
        <v>0.12</v>
      </c>
      <c r="M78" s="412">
        <v>0.064</v>
      </c>
      <c r="N78" s="413">
        <v>3146.36</v>
      </c>
      <c r="O78" s="372" t="s">
        <v>524</v>
      </c>
      <c r="P78" s="413">
        <v>1</v>
      </c>
      <c r="Q78" s="372" t="s">
        <v>306</v>
      </c>
      <c r="R78" s="372" t="s">
        <v>306</v>
      </c>
      <c r="S78" s="372" t="s">
        <v>306</v>
      </c>
      <c r="T78" s="372" t="s">
        <v>306</v>
      </c>
      <c r="U78" s="372" t="s">
        <v>306</v>
      </c>
      <c r="V78" s="372" t="s">
        <v>306</v>
      </c>
      <c r="W78" s="414">
        <v>0.137</v>
      </c>
      <c r="X78" s="412">
        <v>431.05132</v>
      </c>
      <c r="Y78" s="146"/>
      <c r="Z78" s="564">
        <v>443</v>
      </c>
      <c r="AA78" t="s">
        <v>1016</v>
      </c>
      <c r="AB78" s="146" t="s">
        <v>314</v>
      </c>
      <c r="AC78" t="s">
        <v>1063</v>
      </c>
      <c r="AD78" s="559">
        <v>1</v>
      </c>
      <c r="AE78" t="s">
        <v>1127</v>
      </c>
    </row>
    <row r="79" spans="1:31" ht="12.75" customHeight="1">
      <c r="A79" s="249">
        <v>5</v>
      </c>
      <c r="B79" s="250" t="s">
        <v>122</v>
      </c>
      <c r="C79" s="250" t="s">
        <v>308</v>
      </c>
      <c r="D79" s="412">
        <v>25.31</v>
      </c>
      <c r="E79" s="413">
        <v>1543.984</v>
      </c>
      <c r="F79" s="412">
        <v>7.03</v>
      </c>
      <c r="G79" s="412">
        <v>23995.29</v>
      </c>
      <c r="H79" s="372" t="s">
        <v>325</v>
      </c>
      <c r="I79" s="372" t="s">
        <v>525</v>
      </c>
      <c r="J79" s="250"/>
      <c r="K79" s="412">
        <v>1510</v>
      </c>
      <c r="L79" s="412">
        <v>0.024</v>
      </c>
      <c r="M79" s="412">
        <v>0.108</v>
      </c>
      <c r="N79" s="413">
        <v>1543.984</v>
      </c>
      <c r="O79" s="372" t="s">
        <v>526</v>
      </c>
      <c r="P79" s="413">
        <v>1</v>
      </c>
      <c r="Q79" s="372" t="s">
        <v>527</v>
      </c>
      <c r="R79" s="372" t="s">
        <v>528</v>
      </c>
      <c r="S79" s="372" t="s">
        <v>529</v>
      </c>
      <c r="T79" s="372" t="s">
        <v>530</v>
      </c>
      <c r="U79" s="372" t="s">
        <v>531</v>
      </c>
      <c r="V79" s="372" t="s">
        <v>532</v>
      </c>
      <c r="W79" s="414">
        <v>0.188</v>
      </c>
      <c r="X79" s="412">
        <v>290.268992</v>
      </c>
      <c r="Y79" s="146"/>
      <c r="Z79" s="564">
        <v>444</v>
      </c>
      <c r="AA79" t="s">
        <v>1017</v>
      </c>
      <c r="AB79" s="146" t="s">
        <v>314</v>
      </c>
      <c r="AC79" t="s">
        <v>1064</v>
      </c>
      <c r="AD79" s="559">
        <v>1</v>
      </c>
      <c r="AE79" t="s">
        <v>1127</v>
      </c>
    </row>
    <row r="80" spans="1:31" ht="12.75" customHeight="1">
      <c r="A80" s="249">
        <v>6</v>
      </c>
      <c r="B80" s="250" t="s">
        <v>309</v>
      </c>
      <c r="C80" s="250" t="s">
        <v>308</v>
      </c>
      <c r="D80" s="412">
        <v>38.3</v>
      </c>
      <c r="E80" s="413">
        <v>2789.793</v>
      </c>
      <c r="F80" s="412">
        <v>10.64</v>
      </c>
      <c r="G80" s="412">
        <v>36310.53</v>
      </c>
      <c r="H80" s="372" t="s">
        <v>325</v>
      </c>
      <c r="I80" s="372" t="s">
        <v>533</v>
      </c>
      <c r="J80" s="250"/>
      <c r="K80" s="412">
        <v>2663</v>
      </c>
      <c r="L80" s="412">
        <v>0.133</v>
      </c>
      <c r="M80" s="412">
        <v>0.4</v>
      </c>
      <c r="N80" s="413">
        <v>2789.793</v>
      </c>
      <c r="O80" s="372" t="s">
        <v>306</v>
      </c>
      <c r="P80" s="413">
        <v>1</v>
      </c>
      <c r="Q80" s="372" t="s">
        <v>534</v>
      </c>
      <c r="R80" s="372" t="s">
        <v>535</v>
      </c>
      <c r="S80" s="372" t="s">
        <v>536</v>
      </c>
      <c r="T80" s="372" t="s">
        <v>537</v>
      </c>
      <c r="U80" s="372" t="s">
        <v>538</v>
      </c>
      <c r="V80" s="372" t="s">
        <v>539</v>
      </c>
      <c r="W80" s="414">
        <v>0.107</v>
      </c>
      <c r="X80" s="412">
        <v>298.507851</v>
      </c>
      <c r="Y80" s="146"/>
      <c r="Z80" s="564">
        <v>445</v>
      </c>
      <c r="AA80" t="s">
        <v>1018</v>
      </c>
      <c r="AB80" s="146" t="s">
        <v>314</v>
      </c>
      <c r="AC80" t="s">
        <v>1065</v>
      </c>
      <c r="AD80" s="559">
        <v>1</v>
      </c>
      <c r="AE80" t="s">
        <v>1127</v>
      </c>
    </row>
    <row r="81" spans="1:31" ht="12.75" customHeight="1">
      <c r="A81" s="249">
        <v>7</v>
      </c>
      <c r="B81" s="250" t="s">
        <v>310</v>
      </c>
      <c r="C81" s="250" t="s">
        <v>308</v>
      </c>
      <c r="D81" s="412">
        <v>34.87</v>
      </c>
      <c r="E81" s="413">
        <v>2361.92</v>
      </c>
      <c r="F81" s="412">
        <v>9.69</v>
      </c>
      <c r="G81" s="412">
        <v>33058.7</v>
      </c>
      <c r="H81" s="372" t="s">
        <v>325</v>
      </c>
      <c r="I81" s="372" t="s">
        <v>540</v>
      </c>
      <c r="J81" s="250"/>
      <c r="K81" s="412">
        <v>2289</v>
      </c>
      <c r="L81" s="412">
        <v>2.7</v>
      </c>
      <c r="M81" s="412">
        <v>0.05</v>
      </c>
      <c r="N81" s="413">
        <v>2361.2</v>
      </c>
      <c r="O81" s="372" t="s">
        <v>306</v>
      </c>
      <c r="P81" s="413">
        <v>1</v>
      </c>
      <c r="Q81" s="372" t="s">
        <v>534</v>
      </c>
      <c r="R81" s="372" t="s">
        <v>535</v>
      </c>
      <c r="S81" s="372" t="s">
        <v>536</v>
      </c>
      <c r="T81" s="372" t="s">
        <v>537</v>
      </c>
      <c r="U81" s="372" t="s">
        <v>538</v>
      </c>
      <c r="V81" s="372" t="s">
        <v>539</v>
      </c>
      <c r="W81" s="414">
        <v>0.17</v>
      </c>
      <c r="X81" s="412">
        <v>401.5264</v>
      </c>
      <c r="Y81" s="146"/>
      <c r="Z81" s="564">
        <v>446</v>
      </c>
      <c r="AA81" t="s">
        <v>444</v>
      </c>
      <c r="AB81" s="146" t="s">
        <v>314</v>
      </c>
      <c r="AC81" t="s">
        <v>853</v>
      </c>
      <c r="AD81" s="559">
        <v>2</v>
      </c>
      <c r="AE81" t="s">
        <v>1127</v>
      </c>
    </row>
    <row r="82" spans="1:31" ht="12.75" customHeight="1">
      <c r="A82" s="249">
        <v>8</v>
      </c>
      <c r="B82" s="250" t="s">
        <v>311</v>
      </c>
      <c r="C82" s="250" t="s">
        <v>308</v>
      </c>
      <c r="D82" s="412">
        <v>33.52</v>
      </c>
      <c r="E82" s="413">
        <v>2459.5</v>
      </c>
      <c r="F82" s="412">
        <v>9.31</v>
      </c>
      <c r="G82" s="412">
        <v>31778.82</v>
      </c>
      <c r="H82" s="372" t="s">
        <v>325</v>
      </c>
      <c r="I82" s="372" t="s">
        <v>540</v>
      </c>
      <c r="J82" s="250"/>
      <c r="K82" s="412">
        <v>2342</v>
      </c>
      <c r="L82" s="412">
        <v>2.2</v>
      </c>
      <c r="M82" s="412">
        <v>0.23</v>
      </c>
      <c r="N82" s="413">
        <v>2459.5</v>
      </c>
      <c r="O82" s="372" t="s">
        <v>306</v>
      </c>
      <c r="P82" s="413">
        <v>1</v>
      </c>
      <c r="Q82" s="372" t="s">
        <v>306</v>
      </c>
      <c r="R82" s="372" t="s">
        <v>306</v>
      </c>
      <c r="S82" s="372" t="s">
        <v>306</v>
      </c>
      <c r="T82" s="372" t="s">
        <v>306</v>
      </c>
      <c r="U82" s="372" t="s">
        <v>306</v>
      </c>
      <c r="V82" s="372" t="s">
        <v>306</v>
      </c>
      <c r="W82" s="414">
        <v>0.17</v>
      </c>
      <c r="X82" s="412">
        <v>418.115</v>
      </c>
      <c r="Y82" s="146"/>
      <c r="Z82" s="564">
        <v>447</v>
      </c>
      <c r="AA82" t="s">
        <v>1019</v>
      </c>
      <c r="AB82" s="146" t="s">
        <v>314</v>
      </c>
      <c r="AC82" t="s">
        <v>1066</v>
      </c>
      <c r="AD82" s="559">
        <v>2</v>
      </c>
      <c r="AE82" t="s">
        <v>1128</v>
      </c>
    </row>
    <row r="83" spans="1:31" ht="12.75" customHeight="1">
      <c r="A83" s="249">
        <v>9</v>
      </c>
      <c r="B83" s="250" t="s">
        <v>326</v>
      </c>
      <c r="C83" s="250" t="s">
        <v>308</v>
      </c>
      <c r="D83" s="412">
        <v>37.4</v>
      </c>
      <c r="E83" s="413">
        <v>2606.98</v>
      </c>
      <c r="F83" s="412">
        <v>10.39</v>
      </c>
      <c r="G83" s="412">
        <v>35457.28</v>
      </c>
      <c r="H83" s="372" t="s">
        <v>325</v>
      </c>
      <c r="I83" s="372" t="s">
        <v>306</v>
      </c>
      <c r="J83" s="250" t="s">
        <v>306</v>
      </c>
      <c r="K83" s="412">
        <v>2534</v>
      </c>
      <c r="L83" s="412">
        <v>0.08</v>
      </c>
      <c r="M83" s="412">
        <v>0.23</v>
      </c>
      <c r="N83" s="413">
        <v>2606.98</v>
      </c>
      <c r="O83" s="372" t="s">
        <v>306</v>
      </c>
      <c r="P83" s="413">
        <v>1</v>
      </c>
      <c r="Q83" s="372" t="s">
        <v>541</v>
      </c>
      <c r="R83" s="372" t="s">
        <v>542</v>
      </c>
      <c r="S83" s="372" t="s">
        <v>543</v>
      </c>
      <c r="T83" s="372" t="s">
        <v>544</v>
      </c>
      <c r="U83" s="372" t="s">
        <v>545</v>
      </c>
      <c r="V83" s="372" t="s">
        <v>546</v>
      </c>
      <c r="W83" s="414">
        <v>0.093</v>
      </c>
      <c r="X83" s="412">
        <v>242.44914</v>
      </c>
      <c r="Y83" s="146"/>
      <c r="Z83" s="564">
        <v>448</v>
      </c>
      <c r="AA83" t="s">
        <v>1020</v>
      </c>
      <c r="AB83" s="146" t="s">
        <v>314</v>
      </c>
      <c r="AC83" t="s">
        <v>1067</v>
      </c>
      <c r="AD83" s="559">
        <v>3</v>
      </c>
      <c r="AE83" t="s">
        <v>1129</v>
      </c>
    </row>
    <row r="84" spans="1:31" ht="12.75" customHeight="1">
      <c r="A84" s="249">
        <v>10</v>
      </c>
      <c r="B84" s="250" t="s">
        <v>312</v>
      </c>
      <c r="C84" s="250" t="s">
        <v>308</v>
      </c>
      <c r="D84" s="412">
        <v>37.68</v>
      </c>
      <c r="E84" s="413">
        <v>2543.736</v>
      </c>
      <c r="F84" s="412">
        <v>10.469444</v>
      </c>
      <c r="G84" s="412">
        <v>35722.73</v>
      </c>
      <c r="H84" s="372" t="s">
        <v>325</v>
      </c>
      <c r="I84" s="372" t="s">
        <v>306</v>
      </c>
      <c r="J84" s="250" t="s">
        <v>306</v>
      </c>
      <c r="K84" s="412">
        <v>2534</v>
      </c>
      <c r="L84" s="412">
        <v>0.006</v>
      </c>
      <c r="M84" s="412">
        <v>0.031</v>
      </c>
      <c r="N84" s="413">
        <v>2543.736</v>
      </c>
      <c r="O84" s="372" t="s">
        <v>306</v>
      </c>
      <c r="P84" s="413">
        <v>1</v>
      </c>
      <c r="Q84" s="372" t="s">
        <v>306</v>
      </c>
      <c r="R84" s="372" t="s">
        <v>306</v>
      </c>
      <c r="S84" s="372" t="s">
        <v>306</v>
      </c>
      <c r="T84" s="372" t="s">
        <v>306</v>
      </c>
      <c r="U84" s="372" t="s">
        <v>306</v>
      </c>
      <c r="V84" s="372" t="s">
        <v>306</v>
      </c>
      <c r="W84" s="414">
        <v>0.093</v>
      </c>
      <c r="X84" s="412">
        <v>236.567448</v>
      </c>
      <c r="Y84" s="146"/>
      <c r="Z84" s="564">
        <v>449</v>
      </c>
      <c r="AA84" t="s">
        <v>943</v>
      </c>
      <c r="AB84" s="146" t="s">
        <v>314</v>
      </c>
      <c r="AC84" t="s">
        <v>1068</v>
      </c>
      <c r="AD84" s="559">
        <v>3.3</v>
      </c>
      <c r="AE84" t="s">
        <v>1129</v>
      </c>
    </row>
    <row r="85" spans="1:31" ht="12.75" customHeight="1">
      <c r="A85" s="249">
        <v>11</v>
      </c>
      <c r="B85" s="250" t="s">
        <v>313</v>
      </c>
      <c r="C85" s="250" t="s">
        <v>308</v>
      </c>
      <c r="D85" s="412">
        <v>44.46</v>
      </c>
      <c r="E85" s="413">
        <v>1778.4</v>
      </c>
      <c r="F85" s="412">
        <v>12.35</v>
      </c>
      <c r="G85" s="412">
        <v>42150.55</v>
      </c>
      <c r="H85" s="372" t="s">
        <v>547</v>
      </c>
      <c r="I85" s="372" t="s">
        <v>306</v>
      </c>
      <c r="J85" s="250" t="s">
        <v>306</v>
      </c>
      <c r="K85" s="412">
        <v>1778.4</v>
      </c>
      <c r="L85" s="412" t="s">
        <v>306</v>
      </c>
      <c r="M85" s="412" t="s">
        <v>306</v>
      </c>
      <c r="N85" s="413">
        <v>1778.4</v>
      </c>
      <c r="O85" s="372" t="s">
        <v>306</v>
      </c>
      <c r="P85" s="413">
        <v>1</v>
      </c>
      <c r="Q85" s="372" t="s">
        <v>548</v>
      </c>
      <c r="R85" s="372" t="s">
        <v>549</v>
      </c>
      <c r="S85" s="372" t="s">
        <v>550</v>
      </c>
      <c r="T85" s="372" t="s">
        <v>551</v>
      </c>
      <c r="U85" s="372" t="s">
        <v>546</v>
      </c>
      <c r="V85" s="372" t="s">
        <v>552</v>
      </c>
      <c r="W85" s="414">
        <v>0.137</v>
      </c>
      <c r="X85" s="412">
        <v>243.6408</v>
      </c>
      <c r="Y85" s="146"/>
      <c r="Z85" s="564">
        <v>450</v>
      </c>
      <c r="AA85" t="s">
        <v>446</v>
      </c>
      <c r="AB85" s="146" t="s">
        <v>314</v>
      </c>
      <c r="AC85" t="s">
        <v>1069</v>
      </c>
      <c r="AD85" s="559">
        <v>4</v>
      </c>
      <c r="AE85" t="s">
        <v>1127</v>
      </c>
    </row>
    <row r="86" spans="1:31" ht="12.75" customHeight="1">
      <c r="A86" s="249">
        <v>12</v>
      </c>
      <c r="B86" s="250" t="s">
        <v>337</v>
      </c>
      <c r="C86" s="250" t="s">
        <v>308</v>
      </c>
      <c r="D86" s="412">
        <v>36.08</v>
      </c>
      <c r="E86" s="413">
        <v>1756.88</v>
      </c>
      <c r="F86" s="412">
        <v>10.02</v>
      </c>
      <c r="G86" s="412">
        <v>34205.84</v>
      </c>
      <c r="H86" s="372" t="s">
        <v>325</v>
      </c>
      <c r="I86" s="372" t="s">
        <v>306</v>
      </c>
      <c r="J86" s="250" t="s">
        <v>306</v>
      </c>
      <c r="K86" s="412">
        <v>1750</v>
      </c>
      <c r="L86" s="412" t="s">
        <v>306</v>
      </c>
      <c r="M86" s="412">
        <v>0.0222</v>
      </c>
      <c r="N86" s="413">
        <v>1756.88</v>
      </c>
      <c r="O86" s="372" t="s">
        <v>306</v>
      </c>
      <c r="P86" s="413">
        <v>1</v>
      </c>
      <c r="Q86" s="372" t="s">
        <v>553</v>
      </c>
      <c r="R86" s="372" t="s">
        <v>554</v>
      </c>
      <c r="S86" s="372" t="s">
        <v>555</v>
      </c>
      <c r="T86" s="372" t="s">
        <v>556</v>
      </c>
      <c r="U86" s="372" t="s">
        <v>557</v>
      </c>
      <c r="V86" s="372" t="s">
        <v>558</v>
      </c>
      <c r="W86" s="414">
        <v>0.188</v>
      </c>
      <c r="X86" s="412">
        <v>329.001128</v>
      </c>
      <c r="Y86" s="146"/>
      <c r="Z86" s="564">
        <v>451</v>
      </c>
      <c r="AA86" t="s">
        <v>1021</v>
      </c>
      <c r="AB86" s="146" t="s">
        <v>314</v>
      </c>
      <c r="AC86" t="s">
        <v>316</v>
      </c>
      <c r="AD86" s="559">
        <v>4</v>
      </c>
      <c r="AE86" t="s">
        <v>1129</v>
      </c>
    </row>
    <row r="87" spans="1:31" ht="12.75" customHeight="1">
      <c r="A87" s="249">
        <v>16</v>
      </c>
      <c r="B87" s="250" t="s">
        <v>315</v>
      </c>
      <c r="C87" s="250" t="s">
        <v>314</v>
      </c>
      <c r="D87" s="412">
        <v>15</v>
      </c>
      <c r="E87" s="413">
        <v>1486.83</v>
      </c>
      <c r="F87" s="412">
        <v>4.17</v>
      </c>
      <c r="G87" s="412">
        <v>14220.83</v>
      </c>
      <c r="H87" s="372" t="s">
        <v>325</v>
      </c>
      <c r="I87" s="372" t="s">
        <v>306</v>
      </c>
      <c r="J87" s="250" t="s">
        <v>306</v>
      </c>
      <c r="K87" s="412">
        <v>1480</v>
      </c>
      <c r="L87" s="412">
        <v>0.03</v>
      </c>
      <c r="M87" s="412">
        <v>0.02</v>
      </c>
      <c r="N87" s="413">
        <v>1486.83</v>
      </c>
      <c r="O87" s="372" t="s">
        <v>306</v>
      </c>
      <c r="P87" s="413">
        <v>1</v>
      </c>
      <c r="Q87" s="372" t="s">
        <v>559</v>
      </c>
      <c r="R87" s="372" t="s">
        <v>560</v>
      </c>
      <c r="S87" s="372" t="s">
        <v>561</v>
      </c>
      <c r="T87" s="372" t="s">
        <v>562</v>
      </c>
      <c r="U87" s="372" t="s">
        <v>563</v>
      </c>
      <c r="V87" s="372" t="s">
        <v>564</v>
      </c>
      <c r="W87" s="414">
        <v>0.08</v>
      </c>
      <c r="X87" s="412">
        <v>118.9464</v>
      </c>
      <c r="Y87" s="146"/>
      <c r="Z87" s="564">
        <v>452</v>
      </c>
      <c r="AA87" t="s">
        <v>1022</v>
      </c>
      <c r="AB87" s="146" t="s">
        <v>314</v>
      </c>
      <c r="AC87" t="s">
        <v>1070</v>
      </c>
      <c r="AD87" s="559">
        <v>5</v>
      </c>
      <c r="AE87" t="s">
        <v>1129</v>
      </c>
    </row>
    <row r="88" spans="1:31" ht="12.75" customHeight="1">
      <c r="A88" s="249">
        <v>19</v>
      </c>
      <c r="B88" s="250" t="s">
        <v>316</v>
      </c>
      <c r="C88" s="250" t="s">
        <v>308</v>
      </c>
      <c r="D88" s="412">
        <v>28.44</v>
      </c>
      <c r="E88" s="413">
        <v>1763.984</v>
      </c>
      <c r="F88" s="412">
        <v>7.9</v>
      </c>
      <c r="G88" s="412">
        <v>26962.7</v>
      </c>
      <c r="H88" s="372" t="s">
        <v>325</v>
      </c>
      <c r="I88" s="372" t="s">
        <v>306</v>
      </c>
      <c r="J88" s="250" t="s">
        <v>306</v>
      </c>
      <c r="K88" s="412">
        <v>1730</v>
      </c>
      <c r="L88" s="412">
        <v>0.024</v>
      </c>
      <c r="M88" s="412">
        <v>0.108</v>
      </c>
      <c r="N88" s="413">
        <v>1763.984</v>
      </c>
      <c r="O88" s="372" t="s">
        <v>306</v>
      </c>
      <c r="P88" s="413">
        <v>1</v>
      </c>
      <c r="Q88" s="372" t="s">
        <v>306</v>
      </c>
      <c r="R88" s="372" t="s">
        <v>306</v>
      </c>
      <c r="S88" s="372" t="s">
        <v>306</v>
      </c>
      <c r="T88" s="372" t="s">
        <v>306</v>
      </c>
      <c r="U88" s="372" t="s">
        <v>306</v>
      </c>
      <c r="V88" s="372" t="s">
        <v>306</v>
      </c>
      <c r="W88" s="414">
        <v>0.188</v>
      </c>
      <c r="X88" s="412">
        <v>331.628992</v>
      </c>
      <c r="Y88" s="146"/>
      <c r="Z88" s="564">
        <v>453</v>
      </c>
      <c r="AA88" t="s">
        <v>1023</v>
      </c>
      <c r="AB88" s="146" t="s">
        <v>314</v>
      </c>
      <c r="AC88" t="s">
        <v>1071</v>
      </c>
      <c r="AD88" s="559">
        <v>9</v>
      </c>
      <c r="AE88" t="s">
        <v>1127</v>
      </c>
    </row>
    <row r="89" spans="1:31" ht="12.75" customHeight="1">
      <c r="A89" s="249">
        <v>20</v>
      </c>
      <c r="B89" s="250" t="s">
        <v>317</v>
      </c>
      <c r="C89" s="250" t="s">
        <v>308</v>
      </c>
      <c r="D89" s="412">
        <v>17.22</v>
      </c>
      <c r="E89" s="413">
        <v>976</v>
      </c>
      <c r="F89" s="412">
        <v>4.78</v>
      </c>
      <c r="G89" s="412">
        <v>16325.52</v>
      </c>
      <c r="H89" s="372" t="s">
        <v>325</v>
      </c>
      <c r="I89" s="372" t="s">
        <v>306</v>
      </c>
      <c r="J89" s="250" t="s">
        <v>306</v>
      </c>
      <c r="K89" s="412">
        <v>976</v>
      </c>
      <c r="L89" s="412" t="s">
        <v>306</v>
      </c>
      <c r="M89" s="412" t="s">
        <v>306</v>
      </c>
      <c r="N89" s="413">
        <v>976</v>
      </c>
      <c r="O89" s="372" t="s">
        <v>306</v>
      </c>
      <c r="P89" s="413">
        <v>1</v>
      </c>
      <c r="Q89" s="372" t="s">
        <v>306</v>
      </c>
      <c r="R89" s="372" t="s">
        <v>306</v>
      </c>
      <c r="S89" s="372" t="s">
        <v>306</v>
      </c>
      <c r="T89" s="372" t="s">
        <v>306</v>
      </c>
      <c r="U89" s="372" t="s">
        <v>306</v>
      </c>
      <c r="V89" s="372" t="s">
        <v>306</v>
      </c>
      <c r="W89" s="414">
        <v>0.093</v>
      </c>
      <c r="X89" s="412">
        <v>90.768</v>
      </c>
      <c r="Y89" s="146"/>
      <c r="Z89" s="564">
        <v>454</v>
      </c>
      <c r="AA89" t="s">
        <v>1024</v>
      </c>
      <c r="AB89" s="146" t="s">
        <v>314</v>
      </c>
      <c r="AC89" t="s">
        <v>1072</v>
      </c>
      <c r="AD89" s="559">
        <v>11</v>
      </c>
      <c r="AE89" t="s">
        <v>1129</v>
      </c>
    </row>
    <row r="90" spans="1:31" ht="12.75" customHeight="1">
      <c r="A90" s="249">
        <v>21</v>
      </c>
      <c r="B90" s="250" t="s">
        <v>339</v>
      </c>
      <c r="C90" s="250" t="s">
        <v>314</v>
      </c>
      <c r="D90" s="412">
        <v>28.83</v>
      </c>
      <c r="E90" s="413">
        <v>2486.83</v>
      </c>
      <c r="F90" s="412">
        <v>8.008333333</v>
      </c>
      <c r="G90" s="412">
        <v>27332.44167</v>
      </c>
      <c r="H90" s="372" t="s">
        <v>565</v>
      </c>
      <c r="I90" s="372" t="s">
        <v>306</v>
      </c>
      <c r="J90" s="250" t="s">
        <v>306</v>
      </c>
      <c r="K90" s="412">
        <v>2480</v>
      </c>
      <c r="L90" s="412">
        <v>0.03</v>
      </c>
      <c r="M90" s="412">
        <v>0.02</v>
      </c>
      <c r="N90" s="413">
        <v>2486.83</v>
      </c>
      <c r="O90" s="372" t="s">
        <v>306</v>
      </c>
      <c r="P90" s="413">
        <v>1</v>
      </c>
      <c r="Q90" s="372" t="s">
        <v>566</v>
      </c>
      <c r="R90" s="372" t="s">
        <v>567</v>
      </c>
      <c r="S90" s="372" t="s">
        <v>568</v>
      </c>
      <c r="T90" s="372" t="s">
        <v>569</v>
      </c>
      <c r="U90" s="372" t="s">
        <v>570</v>
      </c>
      <c r="V90" s="372" t="s">
        <v>571</v>
      </c>
      <c r="W90" s="414">
        <v>0.08</v>
      </c>
      <c r="X90" s="412">
        <v>198.9464</v>
      </c>
      <c r="Y90" s="146"/>
      <c r="Z90" s="564">
        <v>455</v>
      </c>
      <c r="AA90" t="s">
        <v>1025</v>
      </c>
      <c r="AB90" s="146" t="s">
        <v>314</v>
      </c>
      <c r="AC90" t="s">
        <v>1073</v>
      </c>
      <c r="AD90" s="559">
        <v>12</v>
      </c>
      <c r="AE90" t="s">
        <v>1127</v>
      </c>
    </row>
    <row r="91" spans="1:31" ht="12.75" customHeight="1">
      <c r="A91" s="249">
        <v>22</v>
      </c>
      <c r="B91" s="250" t="s">
        <v>340</v>
      </c>
      <c r="C91" s="250" t="s">
        <v>314</v>
      </c>
      <c r="D91" s="412">
        <v>46.35</v>
      </c>
      <c r="E91" s="413">
        <v>3836.735</v>
      </c>
      <c r="F91" s="412">
        <v>12.88</v>
      </c>
      <c r="G91" s="412">
        <v>43942.38</v>
      </c>
      <c r="H91" s="372" t="s">
        <v>325</v>
      </c>
      <c r="I91" s="372" t="s">
        <v>306</v>
      </c>
      <c r="J91" s="250" t="s">
        <v>306</v>
      </c>
      <c r="K91" s="412">
        <v>3826</v>
      </c>
      <c r="L91" s="412">
        <v>0.12</v>
      </c>
      <c r="M91" s="412">
        <v>0.0265</v>
      </c>
      <c r="N91" s="413">
        <v>3836.735</v>
      </c>
      <c r="O91" s="372" t="s">
        <v>306</v>
      </c>
      <c r="P91" s="413">
        <v>1</v>
      </c>
      <c r="Q91" s="372" t="s">
        <v>572</v>
      </c>
      <c r="R91" s="372" t="s">
        <v>573</v>
      </c>
      <c r="S91" s="372" t="s">
        <v>574</v>
      </c>
      <c r="T91" s="372" t="s">
        <v>575</v>
      </c>
      <c r="U91" s="372" t="s">
        <v>576</v>
      </c>
      <c r="V91" s="372" t="s">
        <v>564</v>
      </c>
      <c r="W91" s="414">
        <v>0.08</v>
      </c>
      <c r="X91" s="412">
        <v>306.9388</v>
      </c>
      <c r="Y91" s="146"/>
      <c r="Z91" s="564">
        <v>456</v>
      </c>
      <c r="AA91" t="s">
        <v>1026</v>
      </c>
      <c r="AB91" s="146" t="s">
        <v>314</v>
      </c>
      <c r="AC91" t="s">
        <v>1074</v>
      </c>
      <c r="AD91" s="559">
        <v>16</v>
      </c>
      <c r="AE91" t="s">
        <v>1127</v>
      </c>
    </row>
    <row r="92" spans="1:31" ht="12.75" customHeight="1">
      <c r="A92" s="249">
        <v>23</v>
      </c>
      <c r="B92" s="250" t="s">
        <v>577</v>
      </c>
      <c r="C92" s="250" t="s">
        <v>314</v>
      </c>
      <c r="D92" s="412">
        <v>27.599911</v>
      </c>
      <c r="E92" s="413">
        <v>35.966</v>
      </c>
      <c r="F92" s="412">
        <v>7.6666419</v>
      </c>
      <c r="G92" s="412">
        <v>26166.248</v>
      </c>
      <c r="H92" s="372" t="s">
        <v>338</v>
      </c>
      <c r="I92" s="372" t="s">
        <v>306</v>
      </c>
      <c r="J92" s="250" t="s">
        <v>306</v>
      </c>
      <c r="K92" s="412">
        <v>3190</v>
      </c>
      <c r="L92" s="412">
        <v>0.576</v>
      </c>
      <c r="M92" s="412">
        <v>0.077</v>
      </c>
      <c r="N92" s="413">
        <v>3231.966</v>
      </c>
      <c r="O92" s="372" t="s">
        <v>306</v>
      </c>
      <c r="P92" s="413">
        <v>1</v>
      </c>
      <c r="Q92" s="372" t="s">
        <v>578</v>
      </c>
      <c r="R92" s="372" t="s">
        <v>579</v>
      </c>
      <c r="S92" s="372" t="s">
        <v>580</v>
      </c>
      <c r="T92" s="372" t="s">
        <v>581</v>
      </c>
      <c r="U92" s="372" t="s">
        <v>582</v>
      </c>
      <c r="V92" s="372" t="s">
        <v>583</v>
      </c>
      <c r="W92" s="414">
        <v>0</v>
      </c>
      <c r="X92" s="412">
        <v>0</v>
      </c>
      <c r="Y92" s="146"/>
      <c r="Z92" s="564">
        <v>457</v>
      </c>
      <c r="AA92" t="s">
        <v>872</v>
      </c>
      <c r="AB92" s="146" t="s">
        <v>314</v>
      </c>
      <c r="AC92" t="s">
        <v>292</v>
      </c>
      <c r="AD92" s="559">
        <v>28</v>
      </c>
      <c r="AE92" t="s">
        <v>1127</v>
      </c>
    </row>
    <row r="93" spans="1:31" ht="12.75" customHeight="1">
      <c r="A93" s="249">
        <v>26</v>
      </c>
      <c r="B93" s="250" t="s">
        <v>341</v>
      </c>
      <c r="C93" s="250" t="s">
        <v>314</v>
      </c>
      <c r="D93" s="412">
        <v>14.2</v>
      </c>
      <c r="E93" s="413">
        <v>9.231</v>
      </c>
      <c r="F93" s="412">
        <v>3.94</v>
      </c>
      <c r="G93" s="412">
        <v>13462.39</v>
      </c>
      <c r="H93" s="372" t="s">
        <v>325</v>
      </c>
      <c r="I93" s="372" t="s">
        <v>306</v>
      </c>
      <c r="J93" s="250" t="s">
        <v>306</v>
      </c>
      <c r="K93" s="412">
        <v>1304</v>
      </c>
      <c r="L93" s="412">
        <v>0.041</v>
      </c>
      <c r="M93" s="412">
        <v>0.027</v>
      </c>
      <c r="N93" s="413">
        <v>1313.23</v>
      </c>
      <c r="O93" s="372" t="s">
        <v>306</v>
      </c>
      <c r="P93" s="413">
        <v>2</v>
      </c>
      <c r="Q93" s="372" t="s">
        <v>306</v>
      </c>
      <c r="R93" s="372" t="s">
        <v>306</v>
      </c>
      <c r="S93" s="372" t="s">
        <v>306</v>
      </c>
      <c r="T93" s="372" t="s">
        <v>584</v>
      </c>
      <c r="U93" s="372" t="s">
        <v>551</v>
      </c>
      <c r="V93" s="372" t="s">
        <v>585</v>
      </c>
      <c r="W93" s="414">
        <v>0</v>
      </c>
      <c r="X93" s="412">
        <v>0</v>
      </c>
      <c r="Y93" s="146"/>
      <c r="Z93" s="564">
        <v>458</v>
      </c>
      <c r="AA93" t="s">
        <v>1027</v>
      </c>
      <c r="AB93" s="146" t="s">
        <v>314</v>
      </c>
      <c r="AC93" t="s">
        <v>1075</v>
      </c>
      <c r="AD93" s="559">
        <v>57</v>
      </c>
      <c r="AE93" t="s">
        <v>1127</v>
      </c>
    </row>
    <row r="94" spans="1:31" ht="12.75" customHeight="1">
      <c r="A94" s="249">
        <v>29</v>
      </c>
      <c r="B94" s="250" t="s">
        <v>318</v>
      </c>
      <c r="C94" s="250" t="s">
        <v>120</v>
      </c>
      <c r="D94" s="412">
        <v>3.6</v>
      </c>
      <c r="E94" s="413" t="s">
        <v>306</v>
      </c>
      <c r="F94" s="412">
        <v>1</v>
      </c>
      <c r="G94" s="412">
        <v>3413</v>
      </c>
      <c r="H94" s="372" t="s">
        <v>306</v>
      </c>
      <c r="I94" s="372" t="s">
        <v>306</v>
      </c>
      <c r="J94" s="250" t="s">
        <v>306</v>
      </c>
      <c r="K94" s="412" t="s">
        <v>306</v>
      </c>
      <c r="L94" s="412" t="s">
        <v>306</v>
      </c>
      <c r="M94" s="412" t="s">
        <v>306</v>
      </c>
      <c r="N94" s="413" t="s">
        <v>306</v>
      </c>
      <c r="O94" s="372" t="s">
        <v>306</v>
      </c>
      <c r="P94" s="413">
        <v>0</v>
      </c>
      <c r="Q94" s="372" t="s">
        <v>306</v>
      </c>
      <c r="R94" s="372" t="s">
        <v>306</v>
      </c>
      <c r="S94" s="372" t="s">
        <v>306</v>
      </c>
      <c r="T94" s="372" t="s">
        <v>306</v>
      </c>
      <c r="U94" s="372" t="s">
        <v>306</v>
      </c>
      <c r="V94" s="372" t="s">
        <v>306</v>
      </c>
      <c r="W94" s="414">
        <v>0</v>
      </c>
      <c r="X94" s="412">
        <v>0</v>
      </c>
      <c r="Y94" s="146"/>
      <c r="Z94" s="564">
        <v>459</v>
      </c>
      <c r="AA94" t="s">
        <v>406</v>
      </c>
      <c r="AB94" s="146" t="s">
        <v>314</v>
      </c>
      <c r="AC94" t="s">
        <v>865</v>
      </c>
      <c r="AD94" s="559">
        <v>79</v>
      </c>
      <c r="AE94" t="s">
        <v>1127</v>
      </c>
    </row>
    <row r="95" spans="1:31" ht="12.75" customHeight="1">
      <c r="A95" s="249">
        <v>30</v>
      </c>
      <c r="B95" s="250" t="s">
        <v>319</v>
      </c>
      <c r="C95" s="250" t="s">
        <v>266</v>
      </c>
      <c r="D95" s="412">
        <v>1000</v>
      </c>
      <c r="E95" s="413">
        <v>0</v>
      </c>
      <c r="F95" s="412">
        <v>277.777777</v>
      </c>
      <c r="G95" s="412">
        <v>948055.52</v>
      </c>
      <c r="H95" s="372" t="s">
        <v>306</v>
      </c>
      <c r="I95" s="372" t="s">
        <v>306</v>
      </c>
      <c r="J95" s="250" t="s">
        <v>306</v>
      </c>
      <c r="K95" s="412" t="s">
        <v>306</v>
      </c>
      <c r="L95" s="412" t="s">
        <v>306</v>
      </c>
      <c r="M95" s="412" t="s">
        <v>306</v>
      </c>
      <c r="N95" s="413" t="s">
        <v>306</v>
      </c>
      <c r="O95" s="372" t="s">
        <v>306</v>
      </c>
      <c r="P95" s="413">
        <v>0</v>
      </c>
      <c r="Q95" s="372" t="s">
        <v>306</v>
      </c>
      <c r="R95" s="372" t="s">
        <v>306</v>
      </c>
      <c r="S95" s="372" t="s">
        <v>306</v>
      </c>
      <c r="T95" s="372" t="s">
        <v>306</v>
      </c>
      <c r="U95" s="372" t="s">
        <v>306</v>
      </c>
      <c r="V95" s="372" t="s">
        <v>306</v>
      </c>
      <c r="W95" s="414">
        <v>0</v>
      </c>
      <c r="X95" s="412">
        <v>0</v>
      </c>
      <c r="Y95" s="146"/>
      <c r="Z95" s="564">
        <v>460</v>
      </c>
      <c r="AA95" t="s">
        <v>380</v>
      </c>
      <c r="AB95" s="146" t="s">
        <v>314</v>
      </c>
      <c r="AC95" t="s">
        <v>381</v>
      </c>
      <c r="AD95" s="559">
        <v>116</v>
      </c>
      <c r="AE95" t="s">
        <v>1127</v>
      </c>
    </row>
    <row r="96" spans="1:31" ht="12.75" customHeight="1">
      <c r="A96" s="249">
        <v>31</v>
      </c>
      <c r="B96" s="250" t="s">
        <v>320</v>
      </c>
      <c r="C96" s="250" t="s">
        <v>321</v>
      </c>
      <c r="D96" s="412">
        <v>1.0547902</v>
      </c>
      <c r="E96" s="413">
        <v>0</v>
      </c>
      <c r="F96" s="412">
        <v>0.2929973</v>
      </c>
      <c r="G96" s="412">
        <v>1000</v>
      </c>
      <c r="H96" s="372" t="s">
        <v>306</v>
      </c>
      <c r="I96" s="372" t="s">
        <v>306</v>
      </c>
      <c r="J96" s="250" t="s">
        <v>306</v>
      </c>
      <c r="K96" s="412" t="s">
        <v>306</v>
      </c>
      <c r="L96" s="412" t="s">
        <v>306</v>
      </c>
      <c r="M96" s="412" t="s">
        <v>306</v>
      </c>
      <c r="N96" s="413" t="s">
        <v>306</v>
      </c>
      <c r="O96" s="372" t="s">
        <v>306</v>
      </c>
      <c r="P96" s="413">
        <v>0</v>
      </c>
      <c r="Q96" s="372" t="s">
        <v>306</v>
      </c>
      <c r="R96" s="372" t="s">
        <v>306</v>
      </c>
      <c r="S96" s="372" t="s">
        <v>306</v>
      </c>
      <c r="T96" s="372" t="s">
        <v>306</v>
      </c>
      <c r="U96" s="372" t="s">
        <v>306</v>
      </c>
      <c r="V96" s="372" t="s">
        <v>306</v>
      </c>
      <c r="W96" s="414">
        <v>0</v>
      </c>
      <c r="X96" s="412">
        <v>0</v>
      </c>
      <c r="Y96" s="146"/>
      <c r="Z96" s="564">
        <v>461</v>
      </c>
      <c r="AA96" t="s">
        <v>410</v>
      </c>
      <c r="AB96" s="146" t="s">
        <v>314</v>
      </c>
      <c r="AC96" t="s">
        <v>869</v>
      </c>
      <c r="AD96" s="559">
        <v>127</v>
      </c>
      <c r="AE96" t="s">
        <v>1127</v>
      </c>
    </row>
    <row r="97" spans="1:31" ht="12.75" customHeight="1">
      <c r="A97" s="249">
        <v>36</v>
      </c>
      <c r="B97" s="250" t="s">
        <v>918</v>
      </c>
      <c r="C97" s="250" t="s">
        <v>314</v>
      </c>
      <c r="D97" s="412">
        <v>19.2</v>
      </c>
      <c r="E97" s="413">
        <v>35.966</v>
      </c>
      <c r="F97" s="412">
        <v>5.33</v>
      </c>
      <c r="G97" s="412">
        <v>18202.67</v>
      </c>
      <c r="H97" s="372" t="s">
        <v>325</v>
      </c>
      <c r="I97" s="372" t="s">
        <v>306</v>
      </c>
      <c r="J97" s="250">
        <v>1</v>
      </c>
      <c r="K97" s="412">
        <v>1799</v>
      </c>
      <c r="L97" s="412">
        <v>0.576</v>
      </c>
      <c r="M97" s="412">
        <v>0.077</v>
      </c>
      <c r="N97" s="413">
        <v>1834.97</v>
      </c>
      <c r="O97" s="372" t="s">
        <v>306</v>
      </c>
      <c r="P97" s="413">
        <v>2</v>
      </c>
      <c r="Q97" s="372" t="s">
        <v>586</v>
      </c>
      <c r="R97" s="372" t="s">
        <v>587</v>
      </c>
      <c r="S97" s="372" t="s">
        <v>766</v>
      </c>
      <c r="T97" s="372" t="s">
        <v>581</v>
      </c>
      <c r="U97" s="372" t="s">
        <v>582</v>
      </c>
      <c r="V97" s="372" t="s">
        <v>583</v>
      </c>
      <c r="W97" s="414">
        <v>0</v>
      </c>
      <c r="X97" s="412">
        <v>0</v>
      </c>
      <c r="Y97" s="146"/>
      <c r="Z97" s="564">
        <v>462</v>
      </c>
      <c r="AA97" t="s">
        <v>389</v>
      </c>
      <c r="AB97" s="146" t="s">
        <v>314</v>
      </c>
      <c r="AC97" t="s">
        <v>1076</v>
      </c>
      <c r="AD97" s="559">
        <v>138</v>
      </c>
      <c r="AE97" t="s">
        <v>1127</v>
      </c>
    </row>
    <row r="98" spans="1:31" ht="12.75" customHeight="1">
      <c r="A98">
        <v>59</v>
      </c>
      <c r="B98" t="s">
        <v>917</v>
      </c>
      <c r="C98" t="s">
        <v>314</v>
      </c>
      <c r="D98" s="146">
        <v>20</v>
      </c>
      <c r="E98" s="146">
        <v>35.966</v>
      </c>
      <c r="F98" s="146">
        <v>5.5555555</v>
      </c>
      <c r="G98" s="146">
        <v>18960.9555555</v>
      </c>
      <c r="H98" s="146" t="s">
        <v>916</v>
      </c>
      <c r="I98" s="146"/>
      <c r="J98">
        <v>1</v>
      </c>
      <c r="K98" s="146">
        <v>1799</v>
      </c>
      <c r="L98" s="146">
        <v>0.576</v>
      </c>
      <c r="M98" s="146">
        <v>0.077</v>
      </c>
      <c r="N98" s="146">
        <v>1834.97</v>
      </c>
      <c r="O98" s="146"/>
      <c r="P98" s="146">
        <v>2</v>
      </c>
      <c r="Q98" s="146"/>
      <c r="R98" s="146"/>
      <c r="S98" s="146"/>
      <c r="T98" s="146"/>
      <c r="U98" s="146"/>
      <c r="V98" s="146"/>
      <c r="W98" s="146">
        <v>0</v>
      </c>
      <c r="X98" s="146">
        <v>0</v>
      </c>
      <c r="Y98" s="146"/>
      <c r="Z98" s="564">
        <v>463</v>
      </c>
      <c r="AA98" t="s">
        <v>1028</v>
      </c>
      <c r="AB98" s="146" t="s">
        <v>314</v>
      </c>
      <c r="AC98" t="s">
        <v>873</v>
      </c>
      <c r="AD98" s="559">
        <v>160</v>
      </c>
      <c r="AE98" t="s">
        <v>1127</v>
      </c>
    </row>
    <row r="99" spans="1:31" ht="12.75" customHeight="1">
      <c r="A99" s="249">
        <v>37</v>
      </c>
      <c r="B99" s="250" t="s">
        <v>342</v>
      </c>
      <c r="C99" s="250" t="s">
        <v>307</v>
      </c>
      <c r="D99" s="412">
        <v>43.24</v>
      </c>
      <c r="E99" s="413">
        <v>2146.88</v>
      </c>
      <c r="F99" s="412">
        <v>12.01</v>
      </c>
      <c r="G99" s="412">
        <v>40993.92</v>
      </c>
      <c r="H99" s="372" t="s">
        <v>325</v>
      </c>
      <c r="I99" s="372" t="s">
        <v>306</v>
      </c>
      <c r="J99" s="250" t="s">
        <v>306</v>
      </c>
      <c r="K99" s="412">
        <v>2140</v>
      </c>
      <c r="L99" s="412">
        <v>0</v>
      </c>
      <c r="M99" s="412">
        <v>0.0222</v>
      </c>
      <c r="N99" s="413">
        <v>2146.88</v>
      </c>
      <c r="O99" s="372" t="s">
        <v>306</v>
      </c>
      <c r="P99" s="413">
        <v>1</v>
      </c>
      <c r="Q99" s="372" t="s">
        <v>306</v>
      </c>
      <c r="R99" s="372" t="s">
        <v>306</v>
      </c>
      <c r="S99" s="372" t="s">
        <v>306</v>
      </c>
      <c r="T99" s="372" t="s">
        <v>556</v>
      </c>
      <c r="U99" s="372" t="s">
        <v>557</v>
      </c>
      <c r="V99" s="372" t="s">
        <v>558</v>
      </c>
      <c r="W99" s="414">
        <v>0.188</v>
      </c>
      <c r="X99" s="412">
        <v>329.001316</v>
      </c>
      <c r="Y99" s="146"/>
      <c r="Z99" s="564">
        <v>464</v>
      </c>
      <c r="AA99" t="s">
        <v>874</v>
      </c>
      <c r="AB99" s="146" t="s">
        <v>314</v>
      </c>
      <c r="AC99" t="s">
        <v>293</v>
      </c>
      <c r="AD99" s="559">
        <v>265</v>
      </c>
      <c r="AE99" t="s">
        <v>1127</v>
      </c>
    </row>
    <row r="100" spans="1:31" ht="12.75" customHeight="1">
      <c r="A100" s="249">
        <v>39</v>
      </c>
      <c r="B100" s="250" t="s">
        <v>322</v>
      </c>
      <c r="C100" s="250" t="s">
        <v>314</v>
      </c>
      <c r="D100" s="412">
        <v>16.72</v>
      </c>
      <c r="E100" s="413">
        <v>714.9472</v>
      </c>
      <c r="F100" s="412">
        <v>4.644444</v>
      </c>
      <c r="G100" s="412">
        <v>15851.48889</v>
      </c>
      <c r="H100" s="372" t="s">
        <v>588</v>
      </c>
      <c r="I100" s="372" t="s">
        <v>306</v>
      </c>
      <c r="J100" s="250" t="s">
        <v>306</v>
      </c>
      <c r="K100" s="412">
        <v>715.9472</v>
      </c>
      <c r="L100" s="412">
        <v>0</v>
      </c>
      <c r="M100" s="412">
        <v>0</v>
      </c>
      <c r="N100" s="413">
        <v>714.9472</v>
      </c>
      <c r="O100" s="372" t="s">
        <v>306</v>
      </c>
      <c r="P100" s="413">
        <v>1</v>
      </c>
      <c r="Q100" s="372" t="s">
        <v>306</v>
      </c>
      <c r="R100" s="372" t="s">
        <v>306</v>
      </c>
      <c r="S100" s="372" t="s">
        <v>306</v>
      </c>
      <c r="T100" s="372" t="s">
        <v>589</v>
      </c>
      <c r="U100" s="372" t="s">
        <v>306</v>
      </c>
      <c r="V100" s="372" t="s">
        <v>306</v>
      </c>
      <c r="W100" s="414">
        <v>0</v>
      </c>
      <c r="X100" s="412">
        <v>0</v>
      </c>
      <c r="Y100" s="146"/>
      <c r="Z100" s="564">
        <v>465</v>
      </c>
      <c r="AA100" t="s">
        <v>387</v>
      </c>
      <c r="AB100" s="146" t="s">
        <v>314</v>
      </c>
      <c r="AC100" t="s">
        <v>1077</v>
      </c>
      <c r="AD100" s="559">
        <v>328</v>
      </c>
      <c r="AE100" t="s">
        <v>1127</v>
      </c>
    </row>
    <row r="101" spans="1:31" ht="12.75" customHeight="1">
      <c r="A101" s="249">
        <v>40</v>
      </c>
      <c r="B101" s="250" t="s">
        <v>343</v>
      </c>
      <c r="C101" s="250" t="s">
        <v>308</v>
      </c>
      <c r="D101" s="412">
        <v>39.16</v>
      </c>
      <c r="E101" s="413">
        <v>2422.36</v>
      </c>
      <c r="F101" s="412">
        <v>10.877777777777776</v>
      </c>
      <c r="G101" s="412">
        <v>37125.85555555555</v>
      </c>
      <c r="H101" s="372" t="s">
        <v>325</v>
      </c>
      <c r="I101" s="372" t="s">
        <v>306</v>
      </c>
      <c r="J101" s="250" t="s">
        <v>306</v>
      </c>
      <c r="K101" s="412">
        <v>2400</v>
      </c>
      <c r="L101" s="412">
        <v>0.12</v>
      </c>
      <c r="M101" s="412">
        <v>0.064</v>
      </c>
      <c r="N101" s="413">
        <v>2422.36</v>
      </c>
      <c r="O101" s="372" t="s">
        <v>306</v>
      </c>
      <c r="P101" s="413">
        <v>1</v>
      </c>
      <c r="Q101" s="372" t="s">
        <v>306</v>
      </c>
      <c r="R101" s="372" t="s">
        <v>306</v>
      </c>
      <c r="S101" s="372" t="s">
        <v>306</v>
      </c>
      <c r="T101" s="372" t="s">
        <v>306</v>
      </c>
      <c r="U101" s="372" t="s">
        <v>306</v>
      </c>
      <c r="V101" s="372" t="s">
        <v>306</v>
      </c>
      <c r="W101" s="414">
        <v>0</v>
      </c>
      <c r="X101" s="412">
        <v>0</v>
      </c>
      <c r="Y101" s="146"/>
      <c r="Z101" s="564">
        <v>466</v>
      </c>
      <c r="AA101" t="s">
        <v>1029</v>
      </c>
      <c r="AB101" s="146" t="s">
        <v>314</v>
      </c>
      <c r="AC101" t="s">
        <v>1078</v>
      </c>
      <c r="AD101" s="559">
        <v>376</v>
      </c>
      <c r="AE101" t="s">
        <v>1127</v>
      </c>
    </row>
    <row r="102" spans="1:31" ht="12.75" customHeight="1">
      <c r="A102" s="249">
        <v>41</v>
      </c>
      <c r="B102" s="250" t="s">
        <v>344</v>
      </c>
      <c r="C102" s="250" t="s">
        <v>308</v>
      </c>
      <c r="D102" s="412">
        <v>38.78</v>
      </c>
      <c r="E102" s="413">
        <v>2652.7360000000003</v>
      </c>
      <c r="F102" s="412">
        <v>10.772222222222222</v>
      </c>
      <c r="G102" s="412">
        <v>36765.59444444445</v>
      </c>
      <c r="H102" s="372" t="s">
        <v>590</v>
      </c>
      <c r="I102" s="372" t="s">
        <v>306</v>
      </c>
      <c r="J102" s="250" t="s">
        <v>306</v>
      </c>
      <c r="K102" s="412">
        <v>2643</v>
      </c>
      <c r="L102" s="412">
        <v>0.006</v>
      </c>
      <c r="M102" s="412">
        <v>0.031</v>
      </c>
      <c r="N102" s="413">
        <v>2652.7360000000003</v>
      </c>
      <c r="O102" s="372" t="s">
        <v>306</v>
      </c>
      <c r="P102" s="413">
        <v>1</v>
      </c>
      <c r="Q102" s="372" t="s">
        <v>306</v>
      </c>
      <c r="R102" s="372" t="s">
        <v>306</v>
      </c>
      <c r="S102" s="372" t="s">
        <v>306</v>
      </c>
      <c r="T102" s="372" t="s">
        <v>306</v>
      </c>
      <c r="U102" s="372" t="s">
        <v>306</v>
      </c>
      <c r="V102" s="372" t="s">
        <v>306</v>
      </c>
      <c r="W102" s="414">
        <v>0.107</v>
      </c>
      <c r="X102" s="412">
        <v>283.842752</v>
      </c>
      <c r="Y102" s="146"/>
      <c r="Z102" s="564">
        <v>467</v>
      </c>
      <c r="AA102" t="s">
        <v>1030</v>
      </c>
      <c r="AB102" s="146" t="s">
        <v>314</v>
      </c>
      <c r="AC102" t="s">
        <v>1079</v>
      </c>
      <c r="AD102" s="559">
        <v>387</v>
      </c>
      <c r="AE102" t="s">
        <v>1127</v>
      </c>
    </row>
    <row r="103" spans="1:31" ht="12.75" customHeight="1">
      <c r="A103" s="249">
        <v>45</v>
      </c>
      <c r="B103" s="250" t="s">
        <v>345</v>
      </c>
      <c r="C103" s="250" t="s">
        <v>308</v>
      </c>
      <c r="D103" s="412">
        <v>40.57</v>
      </c>
      <c r="E103" s="413">
        <v>3503.681</v>
      </c>
      <c r="F103" s="412">
        <v>11.269444444444444</v>
      </c>
      <c r="G103" s="412">
        <v>38462.61388888889</v>
      </c>
      <c r="H103" s="372" t="s">
        <v>325</v>
      </c>
      <c r="I103" s="372" t="s">
        <v>306</v>
      </c>
      <c r="J103" s="250" t="s">
        <v>306</v>
      </c>
      <c r="K103" s="412">
        <v>3494</v>
      </c>
      <c r="L103" s="412">
        <v>0.12</v>
      </c>
      <c r="M103" s="412">
        <v>0.0231</v>
      </c>
      <c r="N103" s="413">
        <v>3503.681</v>
      </c>
      <c r="O103" s="372" t="s">
        <v>306</v>
      </c>
      <c r="P103" s="413">
        <v>1</v>
      </c>
      <c r="Q103" s="372" t="s">
        <v>306</v>
      </c>
      <c r="R103" s="372" t="s">
        <v>306</v>
      </c>
      <c r="S103" s="372" t="s">
        <v>306</v>
      </c>
      <c r="T103" s="372" t="s">
        <v>306</v>
      </c>
      <c r="U103" s="372" t="s">
        <v>306</v>
      </c>
      <c r="V103" s="372" t="s">
        <v>306</v>
      </c>
      <c r="W103" s="414">
        <v>0.08</v>
      </c>
      <c r="X103" s="412">
        <v>280.29448</v>
      </c>
      <c r="Y103" s="146"/>
      <c r="Z103" s="564">
        <v>468</v>
      </c>
      <c r="AA103" t="s">
        <v>1031</v>
      </c>
      <c r="AB103" s="146" t="s">
        <v>314</v>
      </c>
      <c r="AC103" t="s">
        <v>1080</v>
      </c>
      <c r="AD103" s="559">
        <v>413</v>
      </c>
      <c r="AE103" t="s">
        <v>1127</v>
      </c>
    </row>
    <row r="104" spans="1:31" ht="12.75" customHeight="1">
      <c r="A104" s="249">
        <v>46</v>
      </c>
      <c r="B104" s="250" t="s">
        <v>346</v>
      </c>
      <c r="C104" s="250" t="s">
        <v>308</v>
      </c>
      <c r="D104" s="412">
        <v>23.41</v>
      </c>
      <c r="E104" s="413">
        <v>1519</v>
      </c>
      <c r="F104" s="412">
        <v>6.502777777777777</v>
      </c>
      <c r="G104" s="412">
        <v>22193.980555555554</v>
      </c>
      <c r="H104" s="372" t="s">
        <v>325</v>
      </c>
      <c r="I104" s="372" t="s">
        <v>306</v>
      </c>
      <c r="J104" s="250" t="s">
        <v>306</v>
      </c>
      <c r="K104" s="412">
        <v>1519</v>
      </c>
      <c r="L104" s="412">
        <v>0</v>
      </c>
      <c r="M104" s="412">
        <v>0</v>
      </c>
      <c r="N104" s="413">
        <v>1519</v>
      </c>
      <c r="O104" s="372" t="s">
        <v>306</v>
      </c>
      <c r="P104" s="413">
        <v>2</v>
      </c>
      <c r="Q104" s="372" t="s">
        <v>306</v>
      </c>
      <c r="R104" s="372" t="s">
        <v>306</v>
      </c>
      <c r="S104" s="372" t="s">
        <v>306</v>
      </c>
      <c r="T104" s="372" t="s">
        <v>306</v>
      </c>
      <c r="U104" s="372" t="s">
        <v>306</v>
      </c>
      <c r="V104" s="372" t="s">
        <v>306</v>
      </c>
      <c r="W104" s="414">
        <v>0</v>
      </c>
      <c r="X104" s="412">
        <v>0</v>
      </c>
      <c r="Y104" s="146"/>
      <c r="Z104" s="564">
        <v>469</v>
      </c>
      <c r="AA104" t="s">
        <v>1032</v>
      </c>
      <c r="AB104" s="146" t="s">
        <v>314</v>
      </c>
      <c r="AC104" t="s">
        <v>1081</v>
      </c>
      <c r="AD104" s="559">
        <v>421</v>
      </c>
      <c r="AE104" t="s">
        <v>1127</v>
      </c>
    </row>
    <row r="105" spans="1:31" ht="12.75" customHeight="1">
      <c r="A105" s="249">
        <v>47</v>
      </c>
      <c r="B105" s="250" t="s">
        <v>347</v>
      </c>
      <c r="C105" s="250" t="s">
        <v>308</v>
      </c>
      <c r="D105" s="412">
        <v>35.67</v>
      </c>
      <c r="E105" s="413">
        <v>0</v>
      </c>
      <c r="F105" s="412">
        <v>9.908333333333333</v>
      </c>
      <c r="G105" s="412">
        <v>33817.14166666666</v>
      </c>
      <c r="H105" s="372" t="s">
        <v>325</v>
      </c>
      <c r="I105" s="372" t="s">
        <v>306</v>
      </c>
      <c r="J105" s="250" t="s">
        <v>306</v>
      </c>
      <c r="K105" s="412">
        <v>2497</v>
      </c>
      <c r="L105" s="412">
        <v>0</v>
      </c>
      <c r="M105" s="412">
        <v>0</v>
      </c>
      <c r="N105" s="413">
        <v>2497</v>
      </c>
      <c r="O105" s="372" t="s">
        <v>306</v>
      </c>
      <c r="P105" s="413">
        <v>2</v>
      </c>
      <c r="Q105" s="372" t="s">
        <v>306</v>
      </c>
      <c r="R105" s="372" t="s">
        <v>306</v>
      </c>
      <c r="S105" s="372" t="s">
        <v>306</v>
      </c>
      <c r="T105" s="372" t="s">
        <v>306</v>
      </c>
      <c r="U105" s="372" t="s">
        <v>306</v>
      </c>
      <c r="V105" s="372" t="s">
        <v>306</v>
      </c>
      <c r="W105" s="414">
        <v>0</v>
      </c>
      <c r="X105" s="412">
        <v>0</v>
      </c>
      <c r="Y105" s="146"/>
      <c r="Z105" s="564">
        <v>470</v>
      </c>
      <c r="AA105" t="s">
        <v>1033</v>
      </c>
      <c r="AB105" s="146" t="s">
        <v>314</v>
      </c>
      <c r="AC105" t="s">
        <v>1082</v>
      </c>
      <c r="AD105" s="559">
        <v>446</v>
      </c>
      <c r="AE105" t="s">
        <v>1127</v>
      </c>
    </row>
    <row r="106" spans="1:31" ht="12.75" customHeight="1">
      <c r="A106" s="249">
        <v>48</v>
      </c>
      <c r="B106" s="250" t="s">
        <v>348</v>
      </c>
      <c r="C106" s="250" t="s">
        <v>308</v>
      </c>
      <c r="D106" s="412">
        <v>34.84</v>
      </c>
      <c r="E106" s="413">
        <v>0</v>
      </c>
      <c r="F106" s="412">
        <v>9.677777777777779</v>
      </c>
      <c r="G106" s="412">
        <v>33030.25555555556</v>
      </c>
      <c r="H106" s="372" t="s">
        <v>325</v>
      </c>
      <c r="I106" s="372" t="s">
        <v>306</v>
      </c>
      <c r="J106" s="250" t="s">
        <v>306</v>
      </c>
      <c r="K106" s="412">
        <v>2348</v>
      </c>
      <c r="L106" s="412">
        <v>0</v>
      </c>
      <c r="M106" s="412">
        <v>0</v>
      </c>
      <c r="N106" s="413">
        <v>2348</v>
      </c>
      <c r="O106" s="372" t="s">
        <v>306</v>
      </c>
      <c r="P106" s="413">
        <v>2</v>
      </c>
      <c r="Q106" s="372" t="s">
        <v>306</v>
      </c>
      <c r="R106" s="372" t="s">
        <v>306</v>
      </c>
      <c r="S106" s="372" t="s">
        <v>306</v>
      </c>
      <c r="T106" s="372" t="s">
        <v>306</v>
      </c>
      <c r="U106" s="372" t="s">
        <v>306</v>
      </c>
      <c r="V106" s="372" t="s">
        <v>306</v>
      </c>
      <c r="W106" s="414">
        <v>0</v>
      </c>
      <c r="X106" s="412">
        <v>0</v>
      </c>
      <c r="Y106" s="146"/>
      <c r="Z106" s="564">
        <v>471</v>
      </c>
      <c r="AA106" t="s">
        <v>1034</v>
      </c>
      <c r="AB106" s="146" t="s">
        <v>314</v>
      </c>
      <c r="AC106" t="s">
        <v>1083</v>
      </c>
      <c r="AD106" s="559">
        <v>466.764</v>
      </c>
      <c r="AE106" t="s">
        <v>1130</v>
      </c>
    </row>
    <row r="107" spans="1:31" ht="12.75" customHeight="1">
      <c r="A107" s="249">
        <v>49</v>
      </c>
      <c r="B107" s="250" t="s">
        <v>349</v>
      </c>
      <c r="C107" s="250" t="s">
        <v>308</v>
      </c>
      <c r="D107" s="412">
        <v>33.44</v>
      </c>
      <c r="E107" s="413">
        <v>0</v>
      </c>
      <c r="F107" s="412">
        <v>9.288888888888888</v>
      </c>
      <c r="G107" s="412">
        <v>31702.977777777774</v>
      </c>
      <c r="H107" s="372" t="s">
        <v>325</v>
      </c>
      <c r="I107" s="372" t="s">
        <v>306</v>
      </c>
      <c r="J107" s="250" t="s">
        <v>306</v>
      </c>
      <c r="K107" s="412">
        <v>2585</v>
      </c>
      <c r="L107" s="412">
        <v>0</v>
      </c>
      <c r="M107" s="412">
        <v>0</v>
      </c>
      <c r="N107" s="413">
        <v>2585</v>
      </c>
      <c r="O107" s="372" t="s">
        <v>306</v>
      </c>
      <c r="P107" s="413">
        <v>2</v>
      </c>
      <c r="Q107" s="372" t="s">
        <v>306</v>
      </c>
      <c r="R107" s="372" t="s">
        <v>306</v>
      </c>
      <c r="S107" s="372" t="s">
        <v>306</v>
      </c>
      <c r="T107" s="372" t="s">
        <v>306</v>
      </c>
      <c r="U107" s="372" t="s">
        <v>306</v>
      </c>
      <c r="V107" s="372" t="s">
        <v>306</v>
      </c>
      <c r="W107" s="414">
        <v>0</v>
      </c>
      <c r="X107" s="412">
        <v>0</v>
      </c>
      <c r="Y107" s="146"/>
      <c r="Z107" s="564">
        <v>472</v>
      </c>
      <c r="AA107" t="s">
        <v>1035</v>
      </c>
      <c r="AB107" s="146" t="s">
        <v>314</v>
      </c>
      <c r="AC107" t="s">
        <v>1084</v>
      </c>
      <c r="AD107" s="559">
        <v>491</v>
      </c>
      <c r="AE107" t="s">
        <v>1127</v>
      </c>
    </row>
    <row r="108" spans="1:31" ht="12.75" customHeight="1">
      <c r="A108" s="249">
        <v>50</v>
      </c>
      <c r="B108" s="250" t="s">
        <v>350</v>
      </c>
      <c r="C108" s="250" t="s">
        <v>314</v>
      </c>
      <c r="D108" s="412">
        <v>29.82</v>
      </c>
      <c r="E108" s="413">
        <v>2346.83</v>
      </c>
      <c r="F108" s="412">
        <v>8.283333333333333</v>
      </c>
      <c r="G108" s="412">
        <v>28271.016666666666</v>
      </c>
      <c r="H108" s="372" t="s">
        <v>591</v>
      </c>
      <c r="I108" s="372" t="s">
        <v>306</v>
      </c>
      <c r="J108" s="250" t="s">
        <v>306</v>
      </c>
      <c r="K108" s="412">
        <v>2340</v>
      </c>
      <c r="L108" s="412">
        <v>0.03</v>
      </c>
      <c r="M108" s="412">
        <v>0.02</v>
      </c>
      <c r="N108" s="413">
        <v>2346.83</v>
      </c>
      <c r="O108" s="372" t="s">
        <v>306</v>
      </c>
      <c r="P108" s="413">
        <v>1</v>
      </c>
      <c r="Q108" s="372" t="s">
        <v>306</v>
      </c>
      <c r="R108" s="372" t="s">
        <v>306</v>
      </c>
      <c r="S108" s="372" t="s">
        <v>306</v>
      </c>
      <c r="T108" s="372" t="s">
        <v>306</v>
      </c>
      <c r="U108" s="372" t="s">
        <v>306</v>
      </c>
      <c r="V108" s="372" t="s">
        <v>306</v>
      </c>
      <c r="W108" s="414">
        <v>0.08</v>
      </c>
      <c r="X108" s="412">
        <v>187.7464</v>
      </c>
      <c r="Y108" s="146"/>
      <c r="Z108" s="564">
        <v>473</v>
      </c>
      <c r="AA108" t="s">
        <v>1036</v>
      </c>
      <c r="AB108" s="146" t="s">
        <v>314</v>
      </c>
      <c r="AC108" t="s">
        <v>1085</v>
      </c>
      <c r="AD108" s="559">
        <v>523</v>
      </c>
      <c r="AE108" t="s">
        <v>1127</v>
      </c>
    </row>
    <row r="109" spans="1:31" ht="12.75" customHeight="1">
      <c r="A109" s="249">
        <v>51</v>
      </c>
      <c r="B109" s="250" t="s">
        <v>351</v>
      </c>
      <c r="C109" s="250" t="s">
        <v>314</v>
      </c>
      <c r="D109" s="412">
        <v>11.57</v>
      </c>
      <c r="E109" s="413">
        <v>21.6421</v>
      </c>
      <c r="F109" s="412">
        <v>3.213888888888889</v>
      </c>
      <c r="G109" s="412">
        <v>10969.002777777778</v>
      </c>
      <c r="H109" s="372" t="s">
        <v>352</v>
      </c>
      <c r="I109" s="372" t="s">
        <v>306</v>
      </c>
      <c r="J109" s="250" t="s">
        <v>306</v>
      </c>
      <c r="K109" s="412">
        <v>990.392</v>
      </c>
      <c r="L109" s="412">
        <v>0.3471</v>
      </c>
      <c r="M109" s="412">
        <v>0.04628</v>
      </c>
      <c r="N109" s="413">
        <v>1012.034</v>
      </c>
      <c r="O109" s="372" t="s">
        <v>306</v>
      </c>
      <c r="P109" s="413">
        <v>2</v>
      </c>
      <c r="Q109" s="372" t="s">
        <v>306</v>
      </c>
      <c r="R109" s="372" t="s">
        <v>306</v>
      </c>
      <c r="S109" s="372" t="s">
        <v>306</v>
      </c>
      <c r="T109" s="372" t="s">
        <v>306</v>
      </c>
      <c r="U109" s="372" t="s">
        <v>306</v>
      </c>
      <c r="V109" s="372" t="s">
        <v>306</v>
      </c>
      <c r="W109" s="414">
        <v>0</v>
      </c>
      <c r="X109" s="412">
        <v>0</v>
      </c>
      <c r="Y109" s="146"/>
      <c r="Z109" s="564">
        <v>474</v>
      </c>
      <c r="AA109" t="s">
        <v>411</v>
      </c>
      <c r="AB109" s="146" t="s">
        <v>314</v>
      </c>
      <c r="AC109" t="s">
        <v>870</v>
      </c>
      <c r="AD109" s="559">
        <v>525</v>
      </c>
      <c r="AE109" t="s">
        <v>1127</v>
      </c>
    </row>
    <row r="110" spans="1:31" ht="12.75" customHeight="1">
      <c r="A110" s="249">
        <v>52</v>
      </c>
      <c r="B110" s="250" t="s">
        <v>353</v>
      </c>
      <c r="C110" s="250" t="s">
        <v>314</v>
      </c>
      <c r="D110" s="412">
        <v>9.3</v>
      </c>
      <c r="E110" s="413">
        <v>4.5198</v>
      </c>
      <c r="F110" s="412">
        <v>2.5833333333333335</v>
      </c>
      <c r="G110" s="412">
        <v>8816.916666666668</v>
      </c>
      <c r="H110" s="372" t="s">
        <v>354</v>
      </c>
      <c r="I110" s="372" t="s">
        <v>306</v>
      </c>
      <c r="J110" s="250">
        <v>1</v>
      </c>
      <c r="K110" s="412">
        <v>957.9</v>
      </c>
      <c r="L110" s="412">
        <v>0.009</v>
      </c>
      <c r="M110" s="412">
        <v>0.01395</v>
      </c>
      <c r="N110" s="413">
        <v>962.4198</v>
      </c>
      <c r="O110" s="372" t="s">
        <v>306</v>
      </c>
      <c r="P110" s="413">
        <v>2</v>
      </c>
      <c r="Q110" s="372" t="s">
        <v>306</v>
      </c>
      <c r="R110" s="372" t="s">
        <v>306</v>
      </c>
      <c r="S110" s="372" t="s">
        <v>306</v>
      </c>
      <c r="T110" s="372" t="s">
        <v>306</v>
      </c>
      <c r="U110" s="372" t="s">
        <v>306</v>
      </c>
      <c r="V110" s="372" t="s">
        <v>306</v>
      </c>
      <c r="W110" s="414">
        <v>0</v>
      </c>
      <c r="X110" s="412">
        <v>0</v>
      </c>
      <c r="Y110" s="146"/>
      <c r="Z110" s="564">
        <v>475</v>
      </c>
      <c r="AA110" t="s">
        <v>407</v>
      </c>
      <c r="AB110" s="146" t="s">
        <v>314</v>
      </c>
      <c r="AC110" t="s">
        <v>866</v>
      </c>
      <c r="AD110" s="559">
        <v>527</v>
      </c>
      <c r="AE110" t="s">
        <v>1127</v>
      </c>
    </row>
    <row r="111" spans="1:31" ht="12.75" customHeight="1">
      <c r="A111" s="249">
        <v>53</v>
      </c>
      <c r="B111" s="250" t="s">
        <v>355</v>
      </c>
      <c r="C111" s="250" t="s">
        <v>314</v>
      </c>
      <c r="D111" s="412">
        <v>31.18</v>
      </c>
      <c r="E111" s="413">
        <v>2650</v>
      </c>
      <c r="F111" s="412">
        <v>8.661111111111111</v>
      </c>
      <c r="G111" s="412">
        <v>29560.372222222224</v>
      </c>
      <c r="H111" s="372" t="s">
        <v>325</v>
      </c>
      <c r="I111" s="372" t="s">
        <v>306</v>
      </c>
      <c r="J111" s="250" t="s">
        <v>306</v>
      </c>
      <c r="K111" s="412">
        <v>2650</v>
      </c>
      <c r="L111" s="412">
        <v>0</v>
      </c>
      <c r="M111" s="412">
        <v>0</v>
      </c>
      <c r="N111" s="413">
        <v>2650</v>
      </c>
      <c r="O111" s="372" t="s">
        <v>306</v>
      </c>
      <c r="P111" s="413">
        <v>1</v>
      </c>
      <c r="Q111" s="372" t="s">
        <v>306</v>
      </c>
      <c r="R111" s="372" t="s">
        <v>306</v>
      </c>
      <c r="S111" s="372" t="s">
        <v>306</v>
      </c>
      <c r="T111" s="372" t="s">
        <v>306</v>
      </c>
      <c r="U111" s="372" t="s">
        <v>306</v>
      </c>
      <c r="V111" s="372" t="s">
        <v>306</v>
      </c>
      <c r="W111" s="414">
        <v>0</v>
      </c>
      <c r="X111" s="412">
        <v>0</v>
      </c>
      <c r="Y111" s="146"/>
      <c r="Z111" s="564">
        <v>476</v>
      </c>
      <c r="AA111" t="s">
        <v>1037</v>
      </c>
      <c r="AB111" s="146" t="s">
        <v>314</v>
      </c>
      <c r="AC111" t="s">
        <v>1086</v>
      </c>
      <c r="AD111" s="559">
        <v>530</v>
      </c>
      <c r="AE111" t="s">
        <v>1127</v>
      </c>
    </row>
    <row r="112" spans="1:31" ht="12.75" customHeight="1">
      <c r="A112" s="249">
        <v>54</v>
      </c>
      <c r="B112" s="250" t="s">
        <v>356</v>
      </c>
      <c r="C112" s="250" t="s">
        <v>314</v>
      </c>
      <c r="D112" s="412">
        <v>9.59</v>
      </c>
      <c r="E112" s="413">
        <v>0</v>
      </c>
      <c r="F112" s="412">
        <v>2.6638888888888888</v>
      </c>
      <c r="G112" s="412">
        <v>9091.852777777778</v>
      </c>
      <c r="H112" s="372" t="s">
        <v>325</v>
      </c>
      <c r="I112" s="372" t="s">
        <v>306</v>
      </c>
      <c r="J112" s="250">
        <v>1</v>
      </c>
      <c r="K112" s="412">
        <v>1074</v>
      </c>
      <c r="L112" s="412">
        <v>0</v>
      </c>
      <c r="M112" s="412">
        <v>0</v>
      </c>
      <c r="N112" s="413">
        <v>1074</v>
      </c>
      <c r="O112" s="372" t="s">
        <v>306</v>
      </c>
      <c r="P112" s="413">
        <v>2</v>
      </c>
      <c r="Q112" s="372" t="s">
        <v>306</v>
      </c>
      <c r="R112" s="372" t="s">
        <v>306</v>
      </c>
      <c r="S112" s="372" t="s">
        <v>306</v>
      </c>
      <c r="T112" s="372" t="s">
        <v>306</v>
      </c>
      <c r="U112" s="372" t="s">
        <v>306</v>
      </c>
      <c r="V112" s="372" t="s">
        <v>306</v>
      </c>
      <c r="W112" s="414">
        <v>0</v>
      </c>
      <c r="X112" s="412">
        <v>0</v>
      </c>
      <c r="Y112" s="146"/>
      <c r="Z112" s="564">
        <v>477</v>
      </c>
      <c r="AA112" t="s">
        <v>1</v>
      </c>
      <c r="AB112" s="146" t="s">
        <v>314</v>
      </c>
      <c r="AC112" t="s">
        <v>2</v>
      </c>
      <c r="AD112" s="559">
        <v>543.5</v>
      </c>
      <c r="AE112" t="s">
        <v>1130</v>
      </c>
    </row>
    <row r="113" spans="1:31" ht="12.75" customHeight="1">
      <c r="A113" s="249">
        <v>55</v>
      </c>
      <c r="B113" s="250" t="s">
        <v>365</v>
      </c>
      <c r="C113" s="250" t="s">
        <v>314</v>
      </c>
      <c r="D113" s="412">
        <v>30.03</v>
      </c>
      <c r="E113" s="413">
        <v>0</v>
      </c>
      <c r="F113" s="412">
        <v>8.416666666666666</v>
      </c>
      <c r="G113" s="412">
        <v>28726.083333333332</v>
      </c>
      <c r="H113" s="372" t="s">
        <v>325</v>
      </c>
      <c r="I113" s="372" t="s">
        <v>306</v>
      </c>
      <c r="J113" s="250">
        <v>1</v>
      </c>
      <c r="K113" s="412">
        <v>3000</v>
      </c>
      <c r="L113" s="412">
        <v>0</v>
      </c>
      <c r="M113" s="412">
        <v>0</v>
      </c>
      <c r="N113" s="413">
        <v>3000</v>
      </c>
      <c r="O113" s="372" t="s">
        <v>306</v>
      </c>
      <c r="P113" s="413">
        <v>2</v>
      </c>
      <c r="Q113" s="372" t="s">
        <v>306</v>
      </c>
      <c r="R113" s="372" t="s">
        <v>306</v>
      </c>
      <c r="S113" s="372" t="s">
        <v>306</v>
      </c>
      <c r="T113" s="372" t="s">
        <v>306</v>
      </c>
      <c r="U113" s="372" t="s">
        <v>306</v>
      </c>
      <c r="V113" s="372" t="s">
        <v>306</v>
      </c>
      <c r="W113" s="414">
        <v>0</v>
      </c>
      <c r="X113" s="412">
        <v>0</v>
      </c>
      <c r="Y113" s="146"/>
      <c r="Z113" s="564">
        <v>478</v>
      </c>
      <c r="AA113" t="s">
        <v>1038</v>
      </c>
      <c r="AB113" s="146" t="s">
        <v>314</v>
      </c>
      <c r="AC113" t="s">
        <v>1087</v>
      </c>
      <c r="AD113" s="559">
        <v>546.58</v>
      </c>
      <c r="AE113" t="s">
        <v>1130</v>
      </c>
    </row>
    <row r="114" spans="1:31" ht="12.75" customHeight="1">
      <c r="A114" s="249">
        <v>56</v>
      </c>
      <c r="B114" s="250" t="s">
        <v>366</v>
      </c>
      <c r="C114" s="250" t="s">
        <v>307</v>
      </c>
      <c r="D114" s="412">
        <v>19.14</v>
      </c>
      <c r="E114" s="413">
        <v>890.6270000000001</v>
      </c>
      <c r="F114" s="412">
        <v>5.316666666666666</v>
      </c>
      <c r="G114" s="412">
        <v>18145.783333333333</v>
      </c>
      <c r="H114" s="372" t="s">
        <v>325</v>
      </c>
      <c r="I114" s="372" t="s">
        <v>306</v>
      </c>
      <c r="J114" s="250" t="s">
        <v>306</v>
      </c>
      <c r="K114" s="412">
        <v>879</v>
      </c>
      <c r="L114" s="412">
        <v>0.037</v>
      </c>
      <c r="M114" s="412">
        <v>0.035</v>
      </c>
      <c r="N114" s="413">
        <v>890.6270000000001</v>
      </c>
      <c r="O114" s="372" t="s">
        <v>306</v>
      </c>
      <c r="P114" s="413">
        <v>1</v>
      </c>
      <c r="Q114" s="372" t="s">
        <v>306</v>
      </c>
      <c r="R114" s="372" t="s">
        <v>306</v>
      </c>
      <c r="S114" s="372" t="s">
        <v>306</v>
      </c>
      <c r="T114" s="372" t="s">
        <v>306</v>
      </c>
      <c r="U114" s="372" t="s">
        <v>306</v>
      </c>
      <c r="V114" s="372" t="s">
        <v>306</v>
      </c>
      <c r="W114" s="414">
        <v>0.188</v>
      </c>
      <c r="X114" s="412">
        <v>167.437876</v>
      </c>
      <c r="Y114" s="146"/>
      <c r="Z114" s="564">
        <v>479</v>
      </c>
      <c r="AA114" t="s">
        <v>1039</v>
      </c>
      <c r="AB114" s="146" t="s">
        <v>314</v>
      </c>
      <c r="AC114" t="s">
        <v>1088</v>
      </c>
      <c r="AD114" s="559">
        <v>572.56</v>
      </c>
      <c r="AE114" t="s">
        <v>1130</v>
      </c>
    </row>
    <row r="115" spans="1:31" ht="12.75" customHeight="1">
      <c r="A115" s="249">
        <v>57</v>
      </c>
      <c r="B115" s="250" t="s">
        <v>367</v>
      </c>
      <c r="C115" s="250" t="s">
        <v>307</v>
      </c>
      <c r="D115" s="412">
        <v>38.32</v>
      </c>
      <c r="E115" s="413">
        <v>11.317</v>
      </c>
      <c r="F115" s="412">
        <v>10.64</v>
      </c>
      <c r="G115" s="412">
        <v>36361.42</v>
      </c>
      <c r="H115" s="372" t="s">
        <v>325</v>
      </c>
      <c r="I115" s="372" t="s">
        <v>306</v>
      </c>
      <c r="J115" s="250">
        <v>1</v>
      </c>
      <c r="K115" s="412">
        <v>1878</v>
      </c>
      <c r="L115" s="412">
        <v>0.037</v>
      </c>
      <c r="M115" s="412">
        <v>0.034</v>
      </c>
      <c r="N115" s="413">
        <v>1889.32</v>
      </c>
      <c r="O115" s="372" t="s">
        <v>306</v>
      </c>
      <c r="P115" s="413">
        <v>2</v>
      </c>
      <c r="Q115" s="372" t="s">
        <v>306</v>
      </c>
      <c r="R115" s="372" t="s">
        <v>306</v>
      </c>
      <c r="S115" s="372" t="s">
        <v>306</v>
      </c>
      <c r="T115" s="372" t="s">
        <v>306</v>
      </c>
      <c r="U115" s="372" t="s">
        <v>306</v>
      </c>
      <c r="V115" s="372" t="s">
        <v>306</v>
      </c>
      <c r="W115" s="414">
        <v>0</v>
      </c>
      <c r="X115" s="412">
        <v>0</v>
      </c>
      <c r="Y115" s="146"/>
      <c r="Z115" s="564">
        <v>480</v>
      </c>
      <c r="AA115" t="s">
        <v>1040</v>
      </c>
      <c r="AB115" s="146" t="s">
        <v>314</v>
      </c>
      <c r="AC115" t="s">
        <v>1089</v>
      </c>
      <c r="AD115" s="559">
        <v>627</v>
      </c>
      <c r="AE115" t="s">
        <v>1127</v>
      </c>
    </row>
    <row r="116" spans="1:31" ht="12.75" customHeight="1">
      <c r="A116" s="249">
        <v>58</v>
      </c>
      <c r="B116" s="250" t="s">
        <v>368</v>
      </c>
      <c r="C116" s="250" t="s">
        <v>307</v>
      </c>
      <c r="D116" s="412">
        <v>38.32</v>
      </c>
      <c r="E116" s="413">
        <v>11.317</v>
      </c>
      <c r="F116" s="412">
        <v>10.64</v>
      </c>
      <c r="G116" s="412">
        <v>36361.42</v>
      </c>
      <c r="H116" s="372" t="s">
        <v>325</v>
      </c>
      <c r="I116" s="372" t="s">
        <v>306</v>
      </c>
      <c r="J116" s="250">
        <v>1</v>
      </c>
      <c r="K116" s="412">
        <v>1878</v>
      </c>
      <c r="L116" s="412">
        <v>0.037</v>
      </c>
      <c r="M116" s="412">
        <v>0.034</v>
      </c>
      <c r="N116" s="413">
        <v>1889.32</v>
      </c>
      <c r="O116" s="372" t="s">
        <v>306</v>
      </c>
      <c r="P116" s="413">
        <v>2</v>
      </c>
      <c r="Q116" s="372" t="s">
        <v>306</v>
      </c>
      <c r="R116" s="372" t="s">
        <v>306</v>
      </c>
      <c r="S116" s="372" t="s">
        <v>306</v>
      </c>
      <c r="T116" s="372" t="s">
        <v>306</v>
      </c>
      <c r="U116" s="372" t="s">
        <v>306</v>
      </c>
      <c r="V116" s="372" t="s">
        <v>306</v>
      </c>
      <c r="W116" s="414">
        <v>0</v>
      </c>
      <c r="X116" s="412">
        <v>0</v>
      </c>
      <c r="Y116" s="146"/>
      <c r="Z116" s="564">
        <v>481</v>
      </c>
      <c r="AA116" t="s">
        <v>1041</v>
      </c>
      <c r="AB116" t="s">
        <v>314</v>
      </c>
      <c r="AC116" t="s">
        <v>1090</v>
      </c>
      <c r="AD116" s="559">
        <v>654</v>
      </c>
      <c r="AE116" t="s">
        <v>1127</v>
      </c>
    </row>
    <row r="117" spans="1:31" ht="12.75" customHeight="1">
      <c r="A117" s="249">
        <v>61</v>
      </c>
      <c r="B117" s="250" t="s">
        <v>939</v>
      </c>
      <c r="C117" s="250" t="s">
        <v>314</v>
      </c>
      <c r="D117" s="412">
        <v>27.6</v>
      </c>
      <c r="E117" s="413">
        <v>35.966</v>
      </c>
      <c r="F117" s="412">
        <v>7.67</v>
      </c>
      <c r="G117" s="412">
        <v>16166.25</v>
      </c>
      <c r="H117" s="372" t="s">
        <v>325</v>
      </c>
      <c r="I117" s="372" t="s">
        <v>306</v>
      </c>
      <c r="J117" s="250">
        <v>1</v>
      </c>
      <c r="K117" s="412">
        <v>3190</v>
      </c>
      <c r="L117" s="412">
        <v>0.576</v>
      </c>
      <c r="M117" s="412">
        <v>0.077</v>
      </c>
      <c r="N117" s="413">
        <v>3225.966</v>
      </c>
      <c r="O117" s="372" t="s">
        <v>306</v>
      </c>
      <c r="P117" s="413">
        <v>1</v>
      </c>
      <c r="Q117" s="372" t="s">
        <v>306</v>
      </c>
      <c r="R117" s="372" t="s">
        <v>306</v>
      </c>
      <c r="S117" s="372" t="s">
        <v>306</v>
      </c>
      <c r="T117" s="372" t="s">
        <v>306</v>
      </c>
      <c r="U117" s="372" t="s">
        <v>306</v>
      </c>
      <c r="V117" s="372" t="s">
        <v>306</v>
      </c>
      <c r="W117" s="414">
        <v>0</v>
      </c>
      <c r="X117" s="412">
        <v>0</v>
      </c>
      <c r="Z117" s="564">
        <v>482</v>
      </c>
      <c r="AA117" t="s">
        <v>378</v>
      </c>
      <c r="AB117" t="s">
        <v>314</v>
      </c>
      <c r="AC117" t="s">
        <v>379</v>
      </c>
      <c r="AD117" s="559">
        <v>677</v>
      </c>
      <c r="AE117" t="s">
        <v>1127</v>
      </c>
    </row>
    <row r="118" spans="26:31" ht="12.75" customHeight="1">
      <c r="Z118" s="564">
        <v>483</v>
      </c>
      <c r="AA118" t="s">
        <v>392</v>
      </c>
      <c r="AB118" t="s">
        <v>314</v>
      </c>
      <c r="AC118" t="s">
        <v>1091</v>
      </c>
      <c r="AD118" s="559">
        <v>716</v>
      </c>
      <c r="AE118" t="s">
        <v>1127</v>
      </c>
    </row>
    <row r="119" spans="26:31" ht="12.75" customHeight="1">
      <c r="Z119" s="564">
        <v>484</v>
      </c>
      <c r="AA119" t="s">
        <v>1042</v>
      </c>
      <c r="AB119" t="s">
        <v>314</v>
      </c>
      <c r="AC119" t="s">
        <v>1092</v>
      </c>
      <c r="AD119" s="559">
        <v>719</v>
      </c>
      <c r="AE119" t="s">
        <v>1127</v>
      </c>
    </row>
    <row r="120" spans="26:31" ht="12.75" customHeight="1">
      <c r="Z120" s="564">
        <v>485</v>
      </c>
      <c r="AA120" t="s">
        <v>408</v>
      </c>
      <c r="AB120" t="s">
        <v>314</v>
      </c>
      <c r="AC120" t="s">
        <v>867</v>
      </c>
      <c r="AD120" s="559">
        <v>782</v>
      </c>
      <c r="AE120" t="s">
        <v>1127</v>
      </c>
    </row>
    <row r="121" spans="26:31" ht="12.75" customHeight="1">
      <c r="Z121" s="564">
        <v>486</v>
      </c>
      <c r="AA121" t="s">
        <v>450</v>
      </c>
      <c r="AB121" t="s">
        <v>314</v>
      </c>
      <c r="AC121" t="s">
        <v>1093</v>
      </c>
      <c r="AD121" s="559">
        <v>804</v>
      </c>
      <c r="AE121" t="s">
        <v>1127</v>
      </c>
    </row>
    <row r="122" spans="26:31" ht="12.75" customHeight="1">
      <c r="Z122" s="564">
        <v>487</v>
      </c>
      <c r="AA122" t="s">
        <v>1043</v>
      </c>
      <c r="AB122" t="s">
        <v>314</v>
      </c>
      <c r="AC122" t="s">
        <v>1094</v>
      </c>
      <c r="AD122" s="559">
        <v>812</v>
      </c>
      <c r="AE122" t="s">
        <v>1127</v>
      </c>
    </row>
    <row r="123" spans="26:31" ht="12.75" customHeight="1">
      <c r="Z123" s="564">
        <v>488</v>
      </c>
      <c r="AA123" t="s">
        <v>1044</v>
      </c>
      <c r="AB123" t="s">
        <v>314</v>
      </c>
      <c r="AC123" t="s">
        <v>1095</v>
      </c>
      <c r="AD123" s="559">
        <v>828</v>
      </c>
      <c r="AE123" t="s">
        <v>1127</v>
      </c>
    </row>
    <row r="124" spans="26:31" ht="12.75" customHeight="1">
      <c r="Z124" s="564">
        <v>489</v>
      </c>
      <c r="AA124" t="s">
        <v>1045</v>
      </c>
      <c r="AB124" t="s">
        <v>314</v>
      </c>
      <c r="AC124" t="s">
        <v>1096</v>
      </c>
      <c r="AD124" s="559">
        <v>854</v>
      </c>
      <c r="AE124" t="s">
        <v>1127</v>
      </c>
    </row>
    <row r="125" spans="26:31" ht="12.75" customHeight="1">
      <c r="Z125" s="564">
        <v>490</v>
      </c>
      <c r="AA125" t="s">
        <v>449</v>
      </c>
      <c r="AB125" t="s">
        <v>314</v>
      </c>
      <c r="AC125" t="s">
        <v>1097</v>
      </c>
      <c r="AD125" s="559">
        <v>858</v>
      </c>
      <c r="AE125" t="s">
        <v>1127</v>
      </c>
    </row>
    <row r="126" spans="26:31" ht="12.75" customHeight="1">
      <c r="Z126" s="564">
        <v>491</v>
      </c>
      <c r="AA126" t="s">
        <v>449</v>
      </c>
      <c r="AB126" t="s">
        <v>314</v>
      </c>
      <c r="AC126" t="s">
        <v>1098</v>
      </c>
      <c r="AD126" s="559">
        <v>858</v>
      </c>
      <c r="AE126" t="s">
        <v>1127</v>
      </c>
    </row>
    <row r="127" spans="26:31" ht="12.75" customHeight="1">
      <c r="Z127" s="564">
        <v>492</v>
      </c>
      <c r="AA127" t="s">
        <v>415</v>
      </c>
      <c r="AB127" t="s">
        <v>314</v>
      </c>
      <c r="AC127" t="s">
        <v>886</v>
      </c>
      <c r="AD127" s="559">
        <v>875.5400000000002</v>
      </c>
      <c r="AE127" t="s">
        <v>1130</v>
      </c>
    </row>
    <row r="128" spans="26:31" ht="12.75" customHeight="1">
      <c r="Z128" s="564">
        <v>493</v>
      </c>
      <c r="AA128" t="s">
        <v>1046</v>
      </c>
      <c r="AB128" t="s">
        <v>314</v>
      </c>
      <c r="AC128" t="s">
        <v>1099</v>
      </c>
      <c r="AD128" s="559">
        <v>889</v>
      </c>
      <c r="AE128" t="s">
        <v>1127</v>
      </c>
    </row>
    <row r="129" spans="26:31" ht="12.75" customHeight="1">
      <c r="Z129" s="564">
        <v>494</v>
      </c>
      <c r="AA129" t="s">
        <v>1047</v>
      </c>
      <c r="AB129" t="s">
        <v>314</v>
      </c>
      <c r="AC129" t="s">
        <v>1100</v>
      </c>
      <c r="AD129" s="559">
        <v>929</v>
      </c>
      <c r="AE129" t="s">
        <v>1127</v>
      </c>
    </row>
    <row r="130" spans="26:31" ht="12.75" customHeight="1">
      <c r="Z130" s="564">
        <v>495</v>
      </c>
      <c r="AA130" t="s">
        <v>1048</v>
      </c>
      <c r="AB130" t="s">
        <v>314</v>
      </c>
      <c r="AC130" t="s">
        <v>1101</v>
      </c>
      <c r="AD130" s="559">
        <v>979</v>
      </c>
      <c r="AE130" t="s">
        <v>1127</v>
      </c>
    </row>
    <row r="131" spans="26:31" ht="12.75" customHeight="1">
      <c r="Z131" s="564">
        <v>496</v>
      </c>
      <c r="AA131" t="s">
        <v>3</v>
      </c>
      <c r="AB131" t="s">
        <v>314</v>
      </c>
      <c r="AC131" t="s">
        <v>4</v>
      </c>
      <c r="AD131" s="559">
        <v>1075.9499999999998</v>
      </c>
      <c r="AE131" t="s">
        <v>1130</v>
      </c>
    </row>
    <row r="132" spans="26:31" ht="12.75" customHeight="1">
      <c r="Z132" s="564">
        <v>497</v>
      </c>
      <c r="AA132" t="s">
        <v>383</v>
      </c>
      <c r="AB132" t="s">
        <v>314</v>
      </c>
      <c r="AC132" t="s">
        <v>384</v>
      </c>
      <c r="AD132" s="559">
        <v>1120</v>
      </c>
      <c r="AE132" t="s">
        <v>1127</v>
      </c>
    </row>
    <row r="133" spans="1:31" ht="12.75" customHeight="1">
      <c r="A133" t="s">
        <v>358</v>
      </c>
      <c r="B133" t="s">
        <v>357</v>
      </c>
      <c r="C133" t="s">
        <v>67</v>
      </c>
      <c r="D133" t="s">
        <v>68</v>
      </c>
      <c r="E133" t="s">
        <v>89</v>
      </c>
      <c r="F133" t="s">
        <v>726</v>
      </c>
      <c r="G133" t="s">
        <v>69</v>
      </c>
      <c r="H133" t="s">
        <v>70</v>
      </c>
      <c r="I133" t="s">
        <v>265</v>
      </c>
      <c r="J133" s="287" t="s">
        <v>71</v>
      </c>
      <c r="K133" t="s">
        <v>86</v>
      </c>
      <c r="L133" t="s">
        <v>85</v>
      </c>
      <c r="Z133" s="564">
        <v>498</v>
      </c>
      <c r="AA133" t="s">
        <v>413</v>
      </c>
      <c r="AB133" t="s">
        <v>314</v>
      </c>
      <c r="AC133" t="s">
        <v>884</v>
      </c>
      <c r="AD133" s="559">
        <v>1129.92</v>
      </c>
      <c r="AE133" t="s">
        <v>1130</v>
      </c>
    </row>
    <row r="134" spans="1:31" ht="12.75" customHeight="1">
      <c r="A134">
        <f>DQ$2</f>
        <v>0</v>
      </c>
      <c r="B134" t="str">
        <f>IF(B61=TRUE,"8","2")</f>
        <v>2</v>
      </c>
      <c r="C134" t="str">
        <f>IF(B61=TRUE,"81",IF(B57=TRUE,"21",IF(B58=TRUE,"221",IF(B59=TRUE,"23","222"))))</f>
        <v>222</v>
      </c>
      <c r="D134" t="str">
        <f>IF(B61=TRUE,"Recommissioning",IF(B57=TRUE,"Études",IF(B58=TRUE,"Études IP",IF(B59=TRUE,"Études approvisionnement","Études IP préliminaires"))))</f>
        <v>Études IP préliminaires</v>
      </c>
      <c r="E134" t="b">
        <f>DV2</f>
        <v>0</v>
      </c>
      <c r="F134" t="str">
        <f>IF(DP2="Agricole","Agricole",IF(DP2="Transport","Transport","Affaires"))</f>
        <v>Affaires</v>
      </c>
      <c r="G134" s="359">
        <f>'1. Demande'!R172</f>
        <v>0</v>
      </c>
      <c r="H134" s="359">
        <f>'1. Demande'!V172</f>
        <v>0</v>
      </c>
      <c r="I134" s="359">
        <f>'1. Demande'!AA172</f>
        <v>0</v>
      </c>
      <c r="J134" s="359">
        <f>'1. Demande'!AN186</f>
        <v>0</v>
      </c>
      <c r="K134">
        <v>50</v>
      </c>
      <c r="L134" t="str">
        <f>IF(B61=TRUE,"50.20",IF(B57=TRUE,"50.8",IF(B58=TRUE,"50.9",IF(B59=TRUE,"50.10","50.11"))))</f>
        <v>50.11</v>
      </c>
      <c r="Z134" s="564">
        <v>499</v>
      </c>
      <c r="AA134" t="s">
        <v>447</v>
      </c>
      <c r="AB134" t="s">
        <v>314</v>
      </c>
      <c r="AC134" t="s">
        <v>1102</v>
      </c>
      <c r="AD134" s="559">
        <v>1210</v>
      </c>
      <c r="AE134" t="s">
        <v>1127</v>
      </c>
    </row>
    <row r="135" spans="26:31" ht="12.75" customHeight="1">
      <c r="Z135" s="564">
        <v>502</v>
      </c>
      <c r="AA135" t="s">
        <v>414</v>
      </c>
      <c r="AB135" t="s">
        <v>314</v>
      </c>
      <c r="AC135" t="s">
        <v>885</v>
      </c>
      <c r="AD135" s="559">
        <v>1236.34</v>
      </c>
      <c r="AE135" t="s">
        <v>1130</v>
      </c>
    </row>
    <row r="136" spans="26:31" ht="12.75" customHeight="1">
      <c r="Z136" s="564">
        <v>505</v>
      </c>
      <c r="AA136" t="s">
        <v>942</v>
      </c>
      <c r="AB136" t="s">
        <v>314</v>
      </c>
      <c r="AC136" t="s">
        <v>1103</v>
      </c>
      <c r="AD136" s="559">
        <v>1273.49</v>
      </c>
      <c r="AE136" t="s">
        <v>1130</v>
      </c>
    </row>
    <row r="137" spans="26:31" ht="12.75" customHeight="1">
      <c r="Z137" s="564">
        <v>506</v>
      </c>
      <c r="AA137" t="s">
        <v>435</v>
      </c>
      <c r="AB137" t="s">
        <v>314</v>
      </c>
      <c r="AC137" t="s">
        <v>910</v>
      </c>
      <c r="AD137" s="559">
        <v>1274.08</v>
      </c>
      <c r="AE137" t="s">
        <v>1130</v>
      </c>
    </row>
    <row r="138" spans="26:31" ht="12.75" customHeight="1">
      <c r="Z138" s="564">
        <v>507</v>
      </c>
      <c r="AA138" t="s">
        <v>1049</v>
      </c>
      <c r="AB138" t="s">
        <v>314</v>
      </c>
      <c r="AC138" t="s">
        <v>1104</v>
      </c>
      <c r="AD138" s="559">
        <v>1281.854</v>
      </c>
      <c r="AE138" t="s">
        <v>1130</v>
      </c>
    </row>
    <row r="139" spans="26:31" ht="12.75" customHeight="1">
      <c r="Z139" s="564">
        <v>508</v>
      </c>
      <c r="AA139" t="s">
        <v>385</v>
      </c>
      <c r="AB139" t="s">
        <v>314</v>
      </c>
      <c r="AC139" t="s">
        <v>386</v>
      </c>
      <c r="AD139" s="559">
        <v>1300</v>
      </c>
      <c r="AE139" t="s">
        <v>1127</v>
      </c>
    </row>
    <row r="140" spans="26:31" ht="12.75" customHeight="1">
      <c r="Z140" s="564">
        <v>509</v>
      </c>
      <c r="AA140" t="s">
        <v>448</v>
      </c>
      <c r="AB140" t="s">
        <v>314</v>
      </c>
      <c r="AC140" t="s">
        <v>1105</v>
      </c>
      <c r="AD140" s="559">
        <v>1330</v>
      </c>
      <c r="AE140" t="s">
        <v>1127</v>
      </c>
    </row>
    <row r="141" spans="26:31" ht="12.75" customHeight="1">
      <c r="Z141" s="564">
        <v>510</v>
      </c>
      <c r="AA141" t="s">
        <v>43</v>
      </c>
      <c r="AB141" t="s">
        <v>314</v>
      </c>
      <c r="AC141" t="s">
        <v>44</v>
      </c>
      <c r="AD141" s="559">
        <v>1370.775</v>
      </c>
      <c r="AE141" t="s">
        <v>1130</v>
      </c>
    </row>
    <row r="142" spans="26:31" ht="12.75" customHeight="1">
      <c r="Z142" s="564">
        <v>511</v>
      </c>
      <c r="AA142" t="s">
        <v>434</v>
      </c>
      <c r="AB142" t="s">
        <v>314</v>
      </c>
      <c r="AC142" t="s">
        <v>909</v>
      </c>
      <c r="AD142" s="559">
        <v>1374.615</v>
      </c>
      <c r="AE142" t="s">
        <v>1130</v>
      </c>
    </row>
    <row r="143" spans="26:31" ht="12.75" customHeight="1">
      <c r="Z143" s="564">
        <v>512</v>
      </c>
      <c r="AA143" t="s">
        <v>9</v>
      </c>
      <c r="AB143" t="s">
        <v>314</v>
      </c>
      <c r="AC143" t="s">
        <v>10</v>
      </c>
      <c r="AD143" s="559">
        <v>1381.6</v>
      </c>
      <c r="AE143" t="s">
        <v>1130</v>
      </c>
    </row>
    <row r="144" spans="26:31" ht="12.75" customHeight="1">
      <c r="Z144" s="564">
        <v>513</v>
      </c>
      <c r="AA144" t="s">
        <v>895</v>
      </c>
      <c r="AB144" t="s">
        <v>314</v>
      </c>
      <c r="AC144" t="s">
        <v>896</v>
      </c>
      <c r="AD144" s="559">
        <v>1424.75</v>
      </c>
      <c r="AE144" t="s">
        <v>1130</v>
      </c>
    </row>
    <row r="145" spans="26:31" ht="12.75" customHeight="1">
      <c r="Z145" s="564">
        <v>514</v>
      </c>
      <c r="AA145" t="s">
        <v>41</v>
      </c>
      <c r="AB145" t="s">
        <v>314</v>
      </c>
      <c r="AC145" t="s">
        <v>42</v>
      </c>
      <c r="AD145" s="559">
        <v>1430.745</v>
      </c>
      <c r="AE145" t="s">
        <v>1130</v>
      </c>
    </row>
    <row r="146" spans="26:31" ht="12.75" customHeight="1">
      <c r="Z146" s="564">
        <v>515</v>
      </c>
      <c r="AA146" t="s">
        <v>911</v>
      </c>
      <c r="AB146" t="s">
        <v>314</v>
      </c>
      <c r="AC146" t="s">
        <v>0</v>
      </c>
      <c r="AD146" s="559">
        <v>1468.0399999999997</v>
      </c>
      <c r="AE146" t="s">
        <v>1130</v>
      </c>
    </row>
    <row r="147" spans="26:31" ht="12.75" customHeight="1">
      <c r="Z147" s="564">
        <v>516</v>
      </c>
      <c r="AA147" t="s">
        <v>863</v>
      </c>
      <c r="AB147" t="s">
        <v>314</v>
      </c>
      <c r="AC147" t="s">
        <v>864</v>
      </c>
      <c r="AD147" s="559">
        <v>1470</v>
      </c>
      <c r="AE147" t="s">
        <v>1127</v>
      </c>
    </row>
    <row r="148" spans="26:31" ht="12.75" customHeight="1">
      <c r="Z148" s="564">
        <v>517</v>
      </c>
      <c r="AA148" t="s">
        <v>899</v>
      </c>
      <c r="AB148" t="s">
        <v>314</v>
      </c>
      <c r="AC148" t="s">
        <v>900</v>
      </c>
      <c r="AD148" s="559">
        <v>1473.75</v>
      </c>
      <c r="AE148" t="s">
        <v>1130</v>
      </c>
    </row>
    <row r="149" spans="1:31" ht="12.75" customHeight="1">
      <c r="A149" t="s">
        <v>358</v>
      </c>
      <c r="B149" t="s">
        <v>820</v>
      </c>
      <c r="C149" t="s">
        <v>814</v>
      </c>
      <c r="D149" t="s">
        <v>818</v>
      </c>
      <c r="E149" t="s">
        <v>819</v>
      </c>
      <c r="F149" t="s">
        <v>481</v>
      </c>
      <c r="G149" t="s">
        <v>813</v>
      </c>
      <c r="Z149" s="564">
        <v>518</v>
      </c>
      <c r="AA149" t="s">
        <v>427</v>
      </c>
      <c r="AB149" t="s">
        <v>314</v>
      </c>
      <c r="AC149" t="s">
        <v>898</v>
      </c>
      <c r="AD149" s="559">
        <v>1484.75</v>
      </c>
      <c r="AE149" t="s">
        <v>1130</v>
      </c>
    </row>
    <row r="150" spans="1:31" ht="12.75" customHeight="1">
      <c r="A150">
        <f aca="true" t="shared" si="1" ref="A150:A155">DQ$2</f>
        <v>0</v>
      </c>
      <c r="B150">
        <f>'1. Demande'!C188</f>
        <v>1</v>
      </c>
      <c r="C150" t="str">
        <f>'1. Demande'!D188</f>
        <v>MELCCFP</v>
      </c>
      <c r="D150" t="str">
        <f>IF('1. Demande'!H188="","",'1. Demande'!H188)</f>
        <v>Ministère de l’Environnement, de la Lutte contre les changements climatiques, de la Faune et des Parcs</v>
      </c>
      <c r="E150" t="str">
        <f>'1. Demande'!V188</f>
        <v>Subvention</v>
      </c>
      <c r="F150" s="359">
        <f>'1. Demande'!AE188</f>
        <v>0</v>
      </c>
      <c r="G150" s="322">
        <f>'1. Demande'!AN188</f>
        <v>0</v>
      </c>
      <c r="Z150" s="564">
        <v>519</v>
      </c>
      <c r="AA150" t="s">
        <v>893</v>
      </c>
      <c r="AB150" t="s">
        <v>314</v>
      </c>
      <c r="AC150" t="s">
        <v>894</v>
      </c>
      <c r="AD150" s="559">
        <v>1487.05</v>
      </c>
      <c r="AE150" t="s">
        <v>1130</v>
      </c>
    </row>
    <row r="151" spans="1:31" ht="12.75" customHeight="1">
      <c r="A151">
        <f t="shared" si="1"/>
        <v>0</v>
      </c>
      <c r="B151">
        <f>'1. Demande'!C189</f>
        <v>16</v>
      </c>
      <c r="C151" t="str">
        <f>IF('1. Demande'!D189="Participant","Requérant",'1. Demande'!D189)</f>
        <v>Requérant</v>
      </c>
      <c r="D151">
        <f>IF('1. Demande'!H189="","",'1. Demande'!H189)</f>
      </c>
      <c r="E151" t="str">
        <f>'1. Demande'!V189</f>
        <v>Équité</v>
      </c>
      <c r="F151" s="359">
        <f>'1. Demande'!AE189</f>
        <v>0</v>
      </c>
      <c r="G151" s="322">
        <f>'1. Demande'!AN189</f>
        <v>0</v>
      </c>
      <c r="Z151" s="564">
        <v>520</v>
      </c>
      <c r="AA151" t="s">
        <v>430</v>
      </c>
      <c r="AB151" t="s">
        <v>314</v>
      </c>
      <c r="AC151" t="s">
        <v>905</v>
      </c>
      <c r="AD151" s="560">
        <v>1555.21</v>
      </c>
      <c r="AE151" t="s">
        <v>1130</v>
      </c>
    </row>
    <row r="152" spans="1:31" ht="12.75" customHeight="1">
      <c r="A152">
        <f t="shared" si="1"/>
        <v>0</v>
      </c>
      <c r="B152">
        <f>'1. Demande'!C190</f>
      </c>
      <c r="C152" t="str">
        <f>'1. Demande'!D190</f>
        <v>Choisir…</v>
      </c>
      <c r="D152">
        <f>IF('1. Demande'!H190="","",'1. Demande'!H190)</f>
      </c>
      <c r="E152" t="str">
        <f>'1. Demande'!V190</f>
        <v>Choisir…</v>
      </c>
      <c r="F152" s="359">
        <f>'1. Demande'!AE190</f>
        <v>0</v>
      </c>
      <c r="G152" s="322">
        <f>'1. Demande'!AN190</f>
        <v>0</v>
      </c>
      <c r="Z152" s="564">
        <v>521</v>
      </c>
      <c r="AA152" t="s">
        <v>425</v>
      </c>
      <c r="AB152" t="s">
        <v>314</v>
      </c>
      <c r="AC152" t="s">
        <v>892</v>
      </c>
      <c r="AD152" s="560">
        <v>1624.21</v>
      </c>
      <c r="AE152" t="s">
        <v>1130</v>
      </c>
    </row>
    <row r="153" spans="1:31" ht="12.75" customHeight="1">
      <c r="A153">
        <f t="shared" si="1"/>
        <v>0</v>
      </c>
      <c r="B153">
        <f>'1. Demande'!C191</f>
      </c>
      <c r="C153" t="str">
        <f>'1. Demande'!D191</f>
        <v>Choisir…</v>
      </c>
      <c r="D153">
        <f>IF('1. Demande'!H191="","",'1. Demande'!H191)</f>
      </c>
      <c r="E153" t="str">
        <f>'1. Demande'!V191</f>
        <v>Choisir…</v>
      </c>
      <c r="F153" s="359">
        <f>'1. Demande'!AE191</f>
        <v>0</v>
      </c>
      <c r="G153" s="322">
        <f>'1. Demande'!AN191</f>
        <v>0</v>
      </c>
      <c r="Z153" s="564">
        <v>522</v>
      </c>
      <c r="AA153" t="s">
        <v>382</v>
      </c>
      <c r="AB153" t="s">
        <v>314</v>
      </c>
      <c r="AC153" t="s">
        <v>1106</v>
      </c>
      <c r="AD153" s="560">
        <v>1650</v>
      </c>
      <c r="AE153" t="s">
        <v>1127</v>
      </c>
    </row>
    <row r="154" spans="1:31" ht="12.75" customHeight="1">
      <c r="A154">
        <f t="shared" si="1"/>
        <v>0</v>
      </c>
      <c r="B154">
        <f>'1. Demande'!C192</f>
      </c>
      <c r="C154" t="str">
        <f>'1. Demande'!D192</f>
        <v>Choisir…</v>
      </c>
      <c r="D154">
        <f>IF('1. Demande'!H192="","",'1. Demande'!H192)</f>
      </c>
      <c r="E154" t="str">
        <f>'1. Demande'!V192</f>
        <v>Choisir…</v>
      </c>
      <c r="F154" s="359">
        <f>'1. Demande'!AE192</f>
        <v>0</v>
      </c>
      <c r="G154" s="322">
        <f>'1. Demande'!AN192</f>
        <v>0</v>
      </c>
      <c r="Z154" s="564">
        <v>523</v>
      </c>
      <c r="AA154" t="s">
        <v>431</v>
      </c>
      <c r="AB154" t="s">
        <v>314</v>
      </c>
      <c r="AC154" t="s">
        <v>906</v>
      </c>
      <c r="AD154" s="560">
        <v>1658.6</v>
      </c>
      <c r="AE154" t="s">
        <v>1130</v>
      </c>
    </row>
    <row r="155" spans="1:31" ht="12.75" customHeight="1">
      <c r="A155">
        <f t="shared" si="1"/>
        <v>0</v>
      </c>
      <c r="B155">
        <f>'1. Demande'!C193</f>
      </c>
      <c r="C155" t="str">
        <f>'1. Demande'!D193</f>
        <v>Choisir…</v>
      </c>
      <c r="D155">
        <f>IF('1. Demande'!H193="","",'1. Demande'!H193)</f>
      </c>
      <c r="E155" t="str">
        <f>'1. Demande'!V193</f>
        <v>Choisir…</v>
      </c>
      <c r="F155" s="359">
        <f>'1. Demande'!AE193</f>
        <v>0</v>
      </c>
      <c r="G155" s="322">
        <f>'1. Demande'!AN193</f>
        <v>0</v>
      </c>
      <c r="Z155" s="564">
        <v>524</v>
      </c>
      <c r="AA155" t="s">
        <v>6</v>
      </c>
      <c r="AB155" t="s">
        <v>314</v>
      </c>
      <c r="AC155" t="s">
        <v>7</v>
      </c>
      <c r="AD155" s="560">
        <v>1693.0995</v>
      </c>
      <c r="AE155" t="s">
        <v>1130</v>
      </c>
    </row>
    <row r="156" spans="2:32" ht="12.75" customHeight="1">
      <c r="B156">
        <f>'1. Demande'!C194</f>
      </c>
      <c r="C156" t="str">
        <f>'1. Demande'!D194</f>
        <v>Choisir…</v>
      </c>
      <c r="D156">
        <f>IF('1. Demande'!H194="","",'1. Demande'!H194)</f>
      </c>
      <c r="E156" t="str">
        <f>'1. Demande'!V194</f>
        <v>Choisir…</v>
      </c>
      <c r="F156" s="359">
        <f>'1. Demande'!AE194</f>
        <v>0</v>
      </c>
      <c r="G156" s="322">
        <f>'1. Demande'!AN194</f>
        <v>0</v>
      </c>
      <c r="Z156" s="564">
        <v>525</v>
      </c>
      <c r="AA156" t="s">
        <v>445</v>
      </c>
      <c r="AB156" t="s">
        <v>314</v>
      </c>
      <c r="AC156" t="s">
        <v>59</v>
      </c>
      <c r="AD156" s="560">
        <v>1730</v>
      </c>
      <c r="AE156" t="s">
        <v>1127</v>
      </c>
      <c r="AF156" s="250" t="s">
        <v>306</v>
      </c>
    </row>
    <row r="157" spans="26:31" ht="12.75" customHeight="1">
      <c r="Z157" s="564">
        <v>526</v>
      </c>
      <c r="AA157" t="s">
        <v>861</v>
      </c>
      <c r="AB157" t="s">
        <v>314</v>
      </c>
      <c r="AC157" t="s">
        <v>862</v>
      </c>
      <c r="AD157" s="560">
        <v>1750</v>
      </c>
      <c r="AE157" t="s">
        <v>1127</v>
      </c>
    </row>
    <row r="158" spans="1:31" ht="12.75" customHeight="1">
      <c r="A158" t="s">
        <v>358</v>
      </c>
      <c r="B158" t="s">
        <v>821</v>
      </c>
      <c r="C158" s="123" t="s">
        <v>272</v>
      </c>
      <c r="D158" s="123" t="s">
        <v>119</v>
      </c>
      <c r="E158" s="123" t="s">
        <v>263</v>
      </c>
      <c r="F158" s="123" t="s">
        <v>264</v>
      </c>
      <c r="G158" s="123" t="s">
        <v>265</v>
      </c>
      <c r="H158" s="123" t="s">
        <v>266</v>
      </c>
      <c r="I158" s="123" t="s">
        <v>267</v>
      </c>
      <c r="J158" s="123" t="s">
        <v>268</v>
      </c>
      <c r="K158" s="123" t="s">
        <v>269</v>
      </c>
      <c r="Z158" s="564">
        <v>527</v>
      </c>
      <c r="AA158" t="s">
        <v>843</v>
      </c>
      <c r="AB158" t="s">
        <v>314</v>
      </c>
      <c r="AC158" t="s">
        <v>844</v>
      </c>
      <c r="AD158" s="560">
        <v>1760</v>
      </c>
      <c r="AE158" t="s">
        <v>1127</v>
      </c>
    </row>
    <row r="159" spans="1:31" ht="12.75" customHeight="1">
      <c r="A159">
        <f aca="true" t="shared" si="2" ref="A159:A164">DQ$2</f>
        <v>0</v>
      </c>
      <c r="B159" t="e">
        <f>'1. Demande'!C84</f>
        <v>#N/A</v>
      </c>
      <c r="C159">
        <f>'1. Demande'!D84</f>
        <v>0</v>
      </c>
      <c r="D159">
        <f>'1. Demande'!J84</f>
      </c>
      <c r="E159">
        <f>'1. Demande'!N84</f>
        <v>0</v>
      </c>
      <c r="F159">
        <f>'1. Demande'!R84</f>
        <v>0</v>
      </c>
      <c r="G159" s="359">
        <f>'1. Demande'!V84</f>
        <v>0</v>
      </c>
      <c r="H159" s="296">
        <f>'1. Demande'!AA84</f>
        <v>0</v>
      </c>
      <c r="I159" s="296">
        <f>'1. Demande'!AE84</f>
        <v>0</v>
      </c>
      <c r="J159" s="359">
        <f>'1. Demande'!AJ84</f>
        <v>0</v>
      </c>
      <c r="K159">
        <f>'1. Demande'!AN84</f>
        <v>0</v>
      </c>
      <c r="Z159" s="564">
        <v>528</v>
      </c>
      <c r="AA159" t="s">
        <v>422</v>
      </c>
      <c r="AB159" t="s">
        <v>314</v>
      </c>
      <c r="AC159" t="s">
        <v>890</v>
      </c>
      <c r="AD159" s="560">
        <v>1779.92</v>
      </c>
      <c r="AE159" t="s">
        <v>1130</v>
      </c>
    </row>
    <row r="160" spans="1:31" ht="12.75" customHeight="1">
      <c r="A160">
        <f t="shared" si="2"/>
        <v>0</v>
      </c>
      <c r="B160" t="e">
        <f>'1. Demande'!C85</f>
        <v>#N/A</v>
      </c>
      <c r="C160">
        <f>'1. Demande'!D85</f>
        <v>0</v>
      </c>
      <c r="D160">
        <f>'1. Demande'!J85</f>
      </c>
      <c r="E160">
        <f>'1. Demande'!N85</f>
        <v>0</v>
      </c>
      <c r="F160">
        <f>'1. Demande'!R85</f>
        <v>0</v>
      </c>
      <c r="G160" s="359">
        <f>'1. Demande'!V85</f>
        <v>0</v>
      </c>
      <c r="H160" s="296">
        <f>'1. Demande'!AA85</f>
        <v>0</v>
      </c>
      <c r="I160" s="296">
        <f>'1. Demande'!AE85</f>
        <v>0</v>
      </c>
      <c r="J160" s="359">
        <f>'1. Demande'!AJ85</f>
        <v>0</v>
      </c>
      <c r="K160">
        <f>'1. Demande'!AN85</f>
        <v>0</v>
      </c>
      <c r="Z160" s="564">
        <v>529</v>
      </c>
      <c r="AA160" t="s">
        <v>1050</v>
      </c>
      <c r="AB160" t="s">
        <v>314</v>
      </c>
      <c r="AC160" t="s">
        <v>1107</v>
      </c>
      <c r="AD160" s="560">
        <v>1790</v>
      </c>
      <c r="AE160" t="s">
        <v>1127</v>
      </c>
    </row>
    <row r="161" spans="1:31" ht="12.75" customHeight="1">
      <c r="A161">
        <f t="shared" si="2"/>
        <v>0</v>
      </c>
      <c r="B161" t="e">
        <f>'1. Demande'!C86</f>
        <v>#N/A</v>
      </c>
      <c r="C161">
        <f>'1. Demande'!D86</f>
        <v>0</v>
      </c>
      <c r="D161">
        <f>'1. Demande'!J86</f>
      </c>
      <c r="E161">
        <f>'1. Demande'!N86</f>
        <v>0</v>
      </c>
      <c r="F161">
        <f>'1. Demande'!R86</f>
        <v>0</v>
      </c>
      <c r="G161" s="359">
        <f>'1. Demande'!V86</f>
        <v>0</v>
      </c>
      <c r="H161" s="296">
        <f>'1. Demande'!AA86</f>
        <v>0</v>
      </c>
      <c r="I161" s="296">
        <f>'1. Demande'!AE86</f>
        <v>0</v>
      </c>
      <c r="J161" s="359">
        <f>'1. Demande'!AJ86</f>
        <v>0</v>
      </c>
      <c r="K161">
        <f>'1. Demande'!AN86</f>
        <v>0</v>
      </c>
      <c r="Z161" s="564">
        <v>530</v>
      </c>
      <c r="AA161" t="s">
        <v>429</v>
      </c>
      <c r="AB161" t="s">
        <v>314</v>
      </c>
      <c r="AC161" t="s">
        <v>902</v>
      </c>
      <c r="AD161" s="560">
        <v>1798.85</v>
      </c>
      <c r="AE161" t="s">
        <v>1130</v>
      </c>
    </row>
    <row r="162" spans="1:31" ht="12.75" customHeight="1">
      <c r="A162">
        <f t="shared" si="2"/>
        <v>0</v>
      </c>
      <c r="B162" t="e">
        <f>'1. Demande'!C87</f>
        <v>#N/A</v>
      </c>
      <c r="C162">
        <f>'1. Demande'!D87</f>
        <v>0</v>
      </c>
      <c r="D162">
        <f>'1. Demande'!J87</f>
      </c>
      <c r="E162">
        <f>'1. Demande'!N87</f>
        <v>0</v>
      </c>
      <c r="F162">
        <f>'1. Demande'!R87</f>
        <v>0</v>
      </c>
      <c r="G162" s="359">
        <f>'1. Demande'!V87</f>
        <v>0</v>
      </c>
      <c r="H162" s="296">
        <f>'1. Demande'!AA87</f>
        <v>0</v>
      </c>
      <c r="I162" s="296">
        <f>'1. Demande'!AE87</f>
        <v>0</v>
      </c>
      <c r="J162" s="359">
        <f>'1. Demande'!AJ87</f>
        <v>0</v>
      </c>
      <c r="K162">
        <f>'1. Demande'!AN87</f>
        <v>0</v>
      </c>
      <c r="Z162" s="564">
        <v>531</v>
      </c>
      <c r="AA162" t="s">
        <v>423</v>
      </c>
      <c r="AB162" t="s">
        <v>314</v>
      </c>
      <c r="AC162" t="s">
        <v>846</v>
      </c>
      <c r="AD162" s="560">
        <v>1923.4</v>
      </c>
      <c r="AE162" t="s">
        <v>1130</v>
      </c>
    </row>
    <row r="163" spans="1:31" ht="12.75" customHeight="1">
      <c r="A163">
        <f t="shared" si="2"/>
        <v>0</v>
      </c>
      <c r="B163" t="e">
        <f>'1. Demande'!C88</f>
        <v>#N/A</v>
      </c>
      <c r="C163">
        <f>'1. Demande'!D88</f>
        <v>0</v>
      </c>
      <c r="D163">
        <f>'1. Demande'!J88</f>
      </c>
      <c r="E163">
        <f>'1. Demande'!N88</f>
        <v>0</v>
      </c>
      <c r="F163">
        <f>'1. Demande'!R88</f>
        <v>0</v>
      </c>
      <c r="G163" s="359">
        <f>'1. Demande'!V88</f>
        <v>0</v>
      </c>
      <c r="H163" s="296">
        <f>'1. Demande'!AA88</f>
        <v>0</v>
      </c>
      <c r="I163" s="296">
        <f>'1. Demande'!AE88</f>
        <v>0</v>
      </c>
      <c r="J163" s="359">
        <f>'1. Demande'!AJ88</f>
        <v>0</v>
      </c>
      <c r="K163">
        <f>'1. Demande'!AN88</f>
        <v>0</v>
      </c>
      <c r="Z163" s="564">
        <v>532</v>
      </c>
      <c r="AA163" t="s">
        <v>428</v>
      </c>
      <c r="AB163" t="s">
        <v>314</v>
      </c>
      <c r="AC163" t="s">
        <v>901</v>
      </c>
      <c r="AD163" s="560">
        <v>1923.5</v>
      </c>
      <c r="AE163" t="s">
        <v>1130</v>
      </c>
    </row>
    <row r="164" spans="1:31" ht="12.75" customHeight="1">
      <c r="A164">
        <f t="shared" si="2"/>
        <v>0</v>
      </c>
      <c r="B164" t="e">
        <f>'1. Demande'!C89</f>
        <v>#N/A</v>
      </c>
      <c r="C164">
        <f>'1. Demande'!D89</f>
        <v>0</v>
      </c>
      <c r="D164">
        <f>'1. Demande'!J89</f>
      </c>
      <c r="E164">
        <f>'1. Demande'!N89</f>
        <v>0</v>
      </c>
      <c r="F164">
        <f>'1. Demande'!R89</f>
        <v>0</v>
      </c>
      <c r="G164" s="359">
        <f>'1. Demande'!V89</f>
        <v>0</v>
      </c>
      <c r="H164" s="296">
        <f>'1. Demande'!AA89</f>
        <v>0</v>
      </c>
      <c r="I164" s="296">
        <f>'1. Demande'!AE89</f>
        <v>0</v>
      </c>
      <c r="J164" s="359">
        <f>'1. Demande'!AJ89</f>
        <v>0</v>
      </c>
      <c r="K164">
        <f>'1. Demande'!AN89</f>
        <v>0</v>
      </c>
      <c r="Z164" s="564">
        <v>533</v>
      </c>
      <c r="AA164" t="s">
        <v>433</v>
      </c>
      <c r="AB164" t="s">
        <v>314</v>
      </c>
      <c r="AC164" t="s">
        <v>908</v>
      </c>
      <c r="AD164" s="560">
        <v>1945.09</v>
      </c>
      <c r="AE164" t="s">
        <v>1130</v>
      </c>
    </row>
    <row r="165" spans="26:31" ht="12.75" customHeight="1">
      <c r="Z165" s="564">
        <v>559</v>
      </c>
      <c r="AA165" t="s">
        <v>409</v>
      </c>
      <c r="AB165" t="s">
        <v>314</v>
      </c>
      <c r="AC165" t="s">
        <v>868</v>
      </c>
      <c r="AD165" s="560">
        <v>1980</v>
      </c>
      <c r="AE165" t="s">
        <v>1127</v>
      </c>
    </row>
    <row r="166" spans="1:31" ht="12.75" customHeight="1">
      <c r="A166" t="s">
        <v>358</v>
      </c>
      <c r="B166" t="s">
        <v>72</v>
      </c>
      <c r="C166" t="s">
        <v>73</v>
      </c>
      <c r="D166" t="s">
        <v>93</v>
      </c>
      <c r="E166" t="s">
        <v>471</v>
      </c>
      <c r="F166" t="s">
        <v>94</v>
      </c>
      <c r="G166" t="s">
        <v>470</v>
      </c>
      <c r="H166" t="s">
        <v>95</v>
      </c>
      <c r="I166" t="s">
        <v>96</v>
      </c>
      <c r="J166" t="s">
        <v>472</v>
      </c>
      <c r="K166" t="s">
        <v>97</v>
      </c>
      <c r="L166" t="s">
        <v>473</v>
      </c>
      <c r="M166" t="s">
        <v>1003</v>
      </c>
      <c r="N166" t="s">
        <v>98</v>
      </c>
      <c r="O166" t="s">
        <v>99</v>
      </c>
      <c r="P166" t="s">
        <v>474</v>
      </c>
      <c r="Q166" t="s">
        <v>100</v>
      </c>
      <c r="R166" t="s">
        <v>475</v>
      </c>
      <c r="S166" t="s">
        <v>101</v>
      </c>
      <c r="T166" t="s">
        <v>102</v>
      </c>
      <c r="U166" t="s">
        <v>476</v>
      </c>
      <c r="V166" t="s">
        <v>103</v>
      </c>
      <c r="W166" t="s">
        <v>1004</v>
      </c>
      <c r="X166" t="s">
        <v>104</v>
      </c>
      <c r="Z166" s="564">
        <v>560</v>
      </c>
      <c r="AA166" t="s">
        <v>45</v>
      </c>
      <c r="AB166" t="s">
        <v>314</v>
      </c>
      <c r="AC166" t="s">
        <v>46</v>
      </c>
      <c r="AD166" s="560">
        <v>2024.05</v>
      </c>
      <c r="AE166" t="s">
        <v>1130</v>
      </c>
    </row>
    <row r="167" spans="1:31" ht="12.75" customHeight="1">
      <c r="A167">
        <f aca="true" t="shared" si="3" ref="A167:A172">DQ$2</f>
        <v>0</v>
      </c>
      <c r="B167">
        <f>'1. Demande'!D96</f>
        <v>1</v>
      </c>
      <c r="C167">
        <f>IF('1. Demande'!E96="","",'1. Demande'!E96)</f>
      </c>
      <c r="D167">
        <f>'1. Demande'!G96</f>
        <v>0</v>
      </c>
      <c r="E167">
        <f aca="true" ca="1" t="shared" si="4" ref="E167:E172">IF(F167="",0,INDEX(OFFSET(PRP,,-1,,),MATCH(F167,PRP,0)))</f>
        <v>0</v>
      </c>
      <c r="F167">
        <f>IF('1. Demande'!J96="","",'1. Demande'!J96)</f>
      </c>
      <c r="G167">
        <f ca="1">IF(F167="","",INDEX(OFFSET(PRP,,2,,),MATCH(F167,PRP,0)))</f>
      </c>
      <c r="H167">
        <f>'1. Demande'!P96</f>
      </c>
      <c r="I167" s="121">
        <f>'1. Demande'!R96</f>
        <v>0</v>
      </c>
      <c r="J167">
        <f aca="true" ca="1" t="shared" si="5" ref="J167:J172">INDEX(OFFSET(Unite,,-1,,),MATCH(K167,Unite,0))</f>
        <v>0</v>
      </c>
      <c r="K167" t="str">
        <f>'1. Demande'!U96</f>
        <v>Choisir…</v>
      </c>
      <c r="L167" s="323">
        <f>'1. Demande'!AA$93</f>
        <v>0.15</v>
      </c>
      <c r="M167" s="251">
        <f>'1. Demande'!AA$93*'1. Demande'!R96</f>
        <v>0</v>
      </c>
      <c r="N167">
        <f>'1. Demande'!X96</f>
        <v>0</v>
      </c>
      <c r="O167">
        <f>'1. Demande'!Z96</f>
        <v>0</v>
      </c>
      <c r="P167">
        <f aca="true" ca="1" t="shared" si="6" ref="P167:P172">IF(Q167="",0,INDEX(OFFSET(PRP,,-1,,),MATCH(Q167,PRP,0)))</f>
        <v>0</v>
      </c>
      <c r="Q167">
        <f>IF('1. Demande'!AC96="","",'1. Demande'!AC96)</f>
      </c>
      <c r="R167">
        <f aca="true" ca="1" t="shared" si="7" ref="R167:R172">IF(Q167="","",INDEX(OFFSET(PRP,,2,,),MATCH(Q167,PRP,0)))</f>
      </c>
      <c r="S167">
        <f>'1. Demande'!AI96</f>
      </c>
      <c r="T167">
        <f>'1. Demande'!AK96</f>
        <v>0</v>
      </c>
      <c r="U167">
        <f aca="true" ca="1" t="shared" si="8" ref="U167:U172">INDEX(OFFSET(Unite,,-1,,),MATCH(V167,Unite,0))</f>
        <v>0</v>
      </c>
      <c r="V167" t="str">
        <f>'1. Demande'!AN96</f>
        <v>Choisir…</v>
      </c>
      <c r="W167">
        <f>'1. Demande'!AA$93*'1. Demande'!AK96</f>
        <v>0</v>
      </c>
      <c r="X167">
        <f>'1. Demande'!AP96</f>
        <v>0</v>
      </c>
      <c r="Z167" s="564">
        <v>561</v>
      </c>
      <c r="AA167" t="s">
        <v>48</v>
      </c>
      <c r="AB167" s="146" t="s">
        <v>314</v>
      </c>
      <c r="AC167" t="s">
        <v>49</v>
      </c>
      <c r="AD167" s="560">
        <v>2058.779</v>
      </c>
      <c r="AE167" t="s">
        <v>1130</v>
      </c>
    </row>
    <row r="168" spans="1:31" ht="12.75" customHeight="1">
      <c r="A168">
        <f t="shared" si="3"/>
        <v>0</v>
      </c>
      <c r="B168">
        <f>'1. Demande'!D97</f>
        <v>2</v>
      </c>
      <c r="C168">
        <f>IF('1. Demande'!E97="","",'1. Demande'!E97)</f>
      </c>
      <c r="D168">
        <f>'1. Demande'!G97</f>
        <v>0</v>
      </c>
      <c r="E168">
        <f ca="1" t="shared" si="4"/>
        <v>0</v>
      </c>
      <c r="F168">
        <f>IF('1. Demande'!J97="","",'1. Demande'!J97)</f>
      </c>
      <c r="H168">
        <f>'1. Demande'!P97</f>
      </c>
      <c r="I168" s="121">
        <f>'1. Demande'!R97</f>
        <v>0</v>
      </c>
      <c r="J168">
        <f ca="1" t="shared" si="5"/>
        <v>0</v>
      </c>
      <c r="K168" t="str">
        <f>'1. Demande'!U97</f>
        <v>Choisir…</v>
      </c>
      <c r="L168" s="323">
        <f>'1. Demande'!AA$93</f>
        <v>0.15</v>
      </c>
      <c r="M168" s="251">
        <f>'1. Demande'!AA$93*'1. Demande'!R97</f>
        <v>0</v>
      </c>
      <c r="N168">
        <f>'1. Demande'!X97</f>
        <v>0</v>
      </c>
      <c r="O168">
        <f>'1. Demande'!Z97</f>
        <v>0</v>
      </c>
      <c r="P168">
        <f ca="1" t="shared" si="6"/>
        <v>0</v>
      </c>
      <c r="Q168">
        <f>IF('1. Demande'!AC97="","",'1. Demande'!AC97)</f>
      </c>
      <c r="R168">
        <f ca="1" t="shared" si="7"/>
      </c>
      <c r="S168">
        <f>'1. Demande'!AI97</f>
      </c>
      <c r="T168">
        <f>'1. Demande'!AK97</f>
        <v>0</v>
      </c>
      <c r="U168">
        <f ca="1" t="shared" si="8"/>
        <v>0</v>
      </c>
      <c r="V168" t="str">
        <f>'1. Demande'!AN97</f>
        <v>Choisir…</v>
      </c>
      <c r="W168">
        <f>'1. Demande'!AA$93*'1. Demande'!AK97</f>
        <v>0</v>
      </c>
      <c r="X168">
        <f>'1. Demande'!AP97</f>
        <v>0</v>
      </c>
      <c r="Z168" s="564">
        <v>562</v>
      </c>
      <c r="AA168" t="s">
        <v>5</v>
      </c>
      <c r="AB168" t="s">
        <v>314</v>
      </c>
      <c r="AC168" t="s">
        <v>1108</v>
      </c>
      <c r="AD168" s="560">
        <v>2127.356</v>
      </c>
      <c r="AE168" t="s">
        <v>1130</v>
      </c>
    </row>
    <row r="169" spans="1:31" ht="12.75" customHeight="1">
      <c r="A169">
        <f t="shared" si="3"/>
        <v>0</v>
      </c>
      <c r="B169">
        <f>'1. Demande'!D98</f>
        <v>3</v>
      </c>
      <c r="C169">
        <f>IF('1. Demande'!E98="","",'1. Demande'!E98)</f>
      </c>
      <c r="D169">
        <f>'1. Demande'!G98</f>
        <v>0</v>
      </c>
      <c r="E169">
        <f ca="1" t="shared" si="4"/>
        <v>0</v>
      </c>
      <c r="F169">
        <f>IF('1. Demande'!J98="","",'1. Demande'!J98)</f>
      </c>
      <c r="H169">
        <f>'1. Demande'!P98</f>
      </c>
      <c r="I169" s="121">
        <f>'1. Demande'!R98</f>
        <v>0</v>
      </c>
      <c r="J169">
        <f ca="1" t="shared" si="5"/>
        <v>0</v>
      </c>
      <c r="K169" t="str">
        <f>'1. Demande'!U98</f>
        <v>Choisir…</v>
      </c>
      <c r="L169" s="323">
        <f>'1. Demande'!AA$93</f>
        <v>0.15</v>
      </c>
      <c r="M169" s="251">
        <f>'1. Demande'!AA$93*'1. Demande'!R98</f>
        <v>0</v>
      </c>
      <c r="N169">
        <f>'1. Demande'!X98</f>
        <v>0</v>
      </c>
      <c r="O169">
        <f>'1. Demande'!Z98</f>
        <v>0</v>
      </c>
      <c r="P169">
        <f ca="1" t="shared" si="6"/>
        <v>0</v>
      </c>
      <c r="Q169">
        <f>IF('1. Demande'!AC98="","",'1. Demande'!AC98)</f>
      </c>
      <c r="R169">
        <f ca="1" t="shared" si="7"/>
      </c>
      <c r="S169">
        <f>'1. Demande'!AI98</f>
      </c>
      <c r="T169">
        <f>'1. Demande'!AK98</f>
        <v>0</v>
      </c>
      <c r="U169">
        <f ca="1" t="shared" si="8"/>
        <v>0</v>
      </c>
      <c r="V169" t="str">
        <f>'1. Demande'!AN98</f>
        <v>Choisir…</v>
      </c>
      <c r="W169">
        <f>'1. Demande'!AA$93*'1. Demande'!AK98</f>
        <v>0</v>
      </c>
      <c r="X169">
        <f>'1. Demande'!AP98</f>
        <v>0</v>
      </c>
      <c r="Z169" s="564">
        <v>563</v>
      </c>
      <c r="AA169" t="s">
        <v>432</v>
      </c>
      <c r="AB169" t="s">
        <v>314</v>
      </c>
      <c r="AC169" t="s">
        <v>907</v>
      </c>
      <c r="AD169" s="560">
        <v>2172</v>
      </c>
      <c r="AE169" t="s">
        <v>1130</v>
      </c>
    </row>
    <row r="170" spans="1:31" ht="12.75" customHeight="1">
      <c r="A170">
        <f t="shared" si="3"/>
        <v>0</v>
      </c>
      <c r="B170">
        <f>'1. Demande'!D99</f>
        <v>4</v>
      </c>
      <c r="C170">
        <f>IF('1. Demande'!E99="","",'1. Demande'!E99)</f>
      </c>
      <c r="D170">
        <f>'1. Demande'!G99</f>
        <v>0</v>
      </c>
      <c r="E170">
        <f ca="1" t="shared" si="4"/>
        <v>0</v>
      </c>
      <c r="F170">
        <f>IF('1. Demande'!J99="","",'1. Demande'!J99)</f>
      </c>
      <c r="H170">
        <f>'1. Demande'!P99</f>
      </c>
      <c r="I170" s="121">
        <f>'1. Demande'!R99</f>
        <v>0</v>
      </c>
      <c r="J170">
        <f ca="1" t="shared" si="5"/>
        <v>0</v>
      </c>
      <c r="K170" t="str">
        <f>'1. Demande'!U99</f>
        <v>Choisir…</v>
      </c>
      <c r="L170" s="323">
        <f>'1. Demande'!AA$93</f>
        <v>0.15</v>
      </c>
      <c r="M170" s="251">
        <f>'1. Demande'!AA$93*'1. Demande'!R99</f>
        <v>0</v>
      </c>
      <c r="N170">
        <f>'1. Demande'!X99</f>
        <v>0</v>
      </c>
      <c r="O170">
        <f>'1. Demande'!Z99</f>
        <v>0</v>
      </c>
      <c r="P170">
        <f ca="1" t="shared" si="6"/>
        <v>0</v>
      </c>
      <c r="Q170">
        <f>IF('1. Demande'!AC99="","",'1. Demande'!AC99)</f>
      </c>
      <c r="R170">
        <f ca="1" t="shared" si="7"/>
      </c>
      <c r="S170">
        <f>'1. Demande'!AI99</f>
      </c>
      <c r="T170">
        <f>'1. Demande'!AK99</f>
        <v>0</v>
      </c>
      <c r="U170">
        <f ca="1" t="shared" si="8"/>
        <v>0</v>
      </c>
      <c r="V170" t="str">
        <f>'1. Demande'!AN99</f>
        <v>Choisir…</v>
      </c>
      <c r="W170">
        <f>'1. Demande'!AA$93*'1. Demande'!AK99</f>
        <v>0</v>
      </c>
      <c r="X170">
        <f>'1. Demande'!AP99</f>
        <v>0</v>
      </c>
      <c r="Z170" s="564">
        <v>564</v>
      </c>
      <c r="AA170" t="s">
        <v>23</v>
      </c>
      <c r="AB170" t="s">
        <v>314</v>
      </c>
      <c r="AC170" t="s">
        <v>24</v>
      </c>
      <c r="AD170" s="560">
        <v>2212.2259999999997</v>
      </c>
      <c r="AE170" t="s">
        <v>1130</v>
      </c>
    </row>
    <row r="171" spans="1:31" ht="12.75" customHeight="1">
      <c r="A171">
        <f t="shared" si="3"/>
        <v>0</v>
      </c>
      <c r="B171">
        <f>'1. Demande'!D100</f>
        <v>5</v>
      </c>
      <c r="C171">
        <f>IF('1. Demande'!E100="","",'1. Demande'!E100)</f>
      </c>
      <c r="D171">
        <f>'1. Demande'!G100</f>
        <v>0</v>
      </c>
      <c r="E171">
        <f ca="1" t="shared" si="4"/>
        <v>0</v>
      </c>
      <c r="F171">
        <f>IF('1. Demande'!J100="","",'1. Demande'!J100)</f>
      </c>
      <c r="H171">
        <f>'1. Demande'!P100</f>
      </c>
      <c r="I171" s="121">
        <f>'1. Demande'!R100</f>
        <v>0</v>
      </c>
      <c r="J171">
        <f ca="1" t="shared" si="5"/>
        <v>0</v>
      </c>
      <c r="K171" t="str">
        <f>'1. Demande'!U100</f>
        <v>Choisir…</v>
      </c>
      <c r="L171" s="323">
        <f>'1. Demande'!AA$93</f>
        <v>0.15</v>
      </c>
      <c r="M171" s="251">
        <f>'1. Demande'!AA$93*'1. Demande'!R100</f>
        <v>0</v>
      </c>
      <c r="N171">
        <f>'1. Demande'!X100</f>
        <v>0</v>
      </c>
      <c r="O171">
        <f>'1. Demande'!Z100</f>
        <v>0</v>
      </c>
      <c r="P171">
        <f ca="1" t="shared" si="6"/>
        <v>0</v>
      </c>
      <c r="Q171">
        <f>IF('1. Demande'!AC100="","",'1. Demande'!AC100)</f>
      </c>
      <c r="R171">
        <f ca="1" t="shared" si="7"/>
      </c>
      <c r="S171">
        <f>'1. Demande'!AI100</f>
      </c>
      <c r="T171">
        <f>'1. Demande'!AK100</f>
        <v>0</v>
      </c>
      <c r="U171">
        <f ca="1" t="shared" si="8"/>
        <v>0</v>
      </c>
      <c r="V171" t="str">
        <f>'1. Demande'!AN100</f>
        <v>Choisir…</v>
      </c>
      <c r="W171">
        <f>'1. Demande'!AA$93*'1. Demande'!AK100</f>
        <v>0</v>
      </c>
      <c r="X171">
        <f>'1. Demande'!AP100</f>
        <v>0</v>
      </c>
      <c r="Z171" s="564">
        <v>565</v>
      </c>
      <c r="AA171" t="s">
        <v>417</v>
      </c>
      <c r="AB171" t="s">
        <v>314</v>
      </c>
      <c r="AC171" t="s">
        <v>888</v>
      </c>
      <c r="AD171" s="560">
        <v>2260.6659999999997</v>
      </c>
      <c r="AE171" t="s">
        <v>1130</v>
      </c>
    </row>
    <row r="172" spans="1:31" ht="12.75" customHeight="1">
      <c r="A172">
        <f t="shared" si="3"/>
        <v>0</v>
      </c>
      <c r="B172">
        <f>'1. Demande'!D101</f>
        <v>6</v>
      </c>
      <c r="C172">
        <f>IF('1. Demande'!E101="","",'1. Demande'!E101)</f>
      </c>
      <c r="D172">
        <f>'1. Demande'!G101</f>
        <v>0</v>
      </c>
      <c r="E172">
        <f ca="1" t="shared" si="4"/>
        <v>0</v>
      </c>
      <c r="F172">
        <f>IF('1. Demande'!J101="","",'1. Demande'!J101)</f>
      </c>
      <c r="H172">
        <f>'1. Demande'!P101</f>
      </c>
      <c r="I172" s="121">
        <f>'1. Demande'!R101</f>
        <v>0</v>
      </c>
      <c r="J172">
        <f ca="1" t="shared" si="5"/>
        <v>0</v>
      </c>
      <c r="K172" t="str">
        <f>'1. Demande'!U101</f>
        <v>Choisir…</v>
      </c>
      <c r="L172" s="323">
        <f>'1. Demande'!AA$93</f>
        <v>0.15</v>
      </c>
      <c r="M172" s="251">
        <f>'1. Demande'!AA$93*'1. Demande'!R101</f>
        <v>0</v>
      </c>
      <c r="N172">
        <f>'1. Demande'!X101</f>
        <v>0</v>
      </c>
      <c r="O172">
        <f>'1. Demande'!Z101</f>
        <v>0</v>
      </c>
      <c r="P172">
        <f ca="1" t="shared" si="6"/>
        <v>0</v>
      </c>
      <c r="Q172">
        <f>IF('1. Demande'!AC101="","",'1. Demande'!AC101)</f>
      </c>
      <c r="R172">
        <f ca="1" t="shared" si="7"/>
      </c>
      <c r="S172">
        <f>'1. Demande'!AI101</f>
      </c>
      <c r="T172">
        <f>'1. Demande'!AK101</f>
        <v>0</v>
      </c>
      <c r="U172">
        <f ca="1" t="shared" si="8"/>
        <v>0</v>
      </c>
      <c r="V172" t="str">
        <f>'1. Demande'!AN101</f>
        <v>Choisir…</v>
      </c>
      <c r="W172">
        <f>'1. Demande'!AA$93*'1. Demande'!AK101</f>
        <v>0</v>
      </c>
      <c r="X172">
        <f>'1. Demande'!AP101</f>
        <v>0</v>
      </c>
      <c r="Z172" s="564">
        <v>566</v>
      </c>
      <c r="AA172" t="s">
        <v>21</v>
      </c>
      <c r="AB172" t="s">
        <v>314</v>
      </c>
      <c r="AC172" t="s">
        <v>22</v>
      </c>
      <c r="AD172" s="560">
        <v>2273.75</v>
      </c>
      <c r="AE172" t="s">
        <v>1130</v>
      </c>
    </row>
    <row r="173" spans="6:31" ht="12.75" customHeight="1">
      <c r="F173" s="287"/>
      <c r="H173" s="323"/>
      <c r="Z173" s="564">
        <v>567</v>
      </c>
      <c r="AA173" t="s">
        <v>17</v>
      </c>
      <c r="AB173" t="s">
        <v>314</v>
      </c>
      <c r="AC173" t="s">
        <v>18</v>
      </c>
      <c r="AD173" s="560">
        <v>2289.59</v>
      </c>
      <c r="AE173" t="s">
        <v>1130</v>
      </c>
    </row>
    <row r="174" spans="1:31" ht="12.75" customHeight="1">
      <c r="A174" t="s">
        <v>358</v>
      </c>
      <c r="B174" t="s">
        <v>803</v>
      </c>
      <c r="C174" t="s">
        <v>804</v>
      </c>
      <c r="D174" t="s">
        <v>68</v>
      </c>
      <c r="E174" t="s">
        <v>89</v>
      </c>
      <c r="F174" t="s">
        <v>726</v>
      </c>
      <c r="G174" t="s">
        <v>69</v>
      </c>
      <c r="H174" t="s">
        <v>70</v>
      </c>
      <c r="I174" t="s">
        <v>265</v>
      </c>
      <c r="J174" s="287" t="s">
        <v>71</v>
      </c>
      <c r="K174" t="s">
        <v>88</v>
      </c>
      <c r="L174" t="s">
        <v>86</v>
      </c>
      <c r="M174" t="s">
        <v>85</v>
      </c>
      <c r="Z174" s="564">
        <v>568</v>
      </c>
      <c r="AA174" t="s">
        <v>11</v>
      </c>
      <c r="AB174" t="s">
        <v>314</v>
      </c>
      <c r="AC174" t="s">
        <v>12</v>
      </c>
      <c r="AD174" s="560">
        <v>2384.6</v>
      </c>
      <c r="AE174" t="s">
        <v>1130</v>
      </c>
    </row>
    <row r="175" spans="1:31" ht="12.75" customHeight="1">
      <c r="A175">
        <f aca="true" t="shared" si="9" ref="A175:A180">DQ$2</f>
        <v>0</v>
      </c>
      <c r="B175">
        <f aca="true" t="shared" si="10" ref="B175:B180">IF(E$56=TRUE,5,IF(F$56=TRUE,6,0))</f>
        <v>0</v>
      </c>
      <c r="C175">
        <f>'1. Demande'!C177</f>
      </c>
      <c r="D175" t="str">
        <f>'1. Demande'!D177</f>
        <v>Choisir…</v>
      </c>
      <c r="E175" t="b">
        <v>0</v>
      </c>
      <c r="F175" t="str">
        <f aca="true" t="shared" si="11" ref="F175:F180">IF(AND(DP$2="Agricole",LEFT(C175,2)="52"),"Agricole","Affaires")</f>
        <v>Affaires</v>
      </c>
      <c r="G175">
        <f>'1. Demande'!V177</f>
        <v>0</v>
      </c>
      <c r="H175">
        <f>'1. Demande'!AA177</f>
        <v>0</v>
      </c>
      <c r="I175">
        <f>'1. Demande'!AE177</f>
        <v>0</v>
      </c>
      <c r="J175" s="287">
        <f>'1. Demande'!AJ177</f>
        <v>0</v>
      </c>
      <c r="K175" s="106">
        <f>'1. Demande'!R177</f>
        <v>0</v>
      </c>
      <c r="L175" s="10">
        <f aca="true" ca="1" t="shared" si="12" ref="L175:L180">IF(D175&lt;&gt;"Choisir…",INDEX(OFFSET(INDIRECT(AD$30),,1,,),MATCH(D175,INDIRECT(AD$30),0)),"")</f>
      </c>
      <c r="M175" s="10">
        <f aca="true" ca="1" t="shared" si="13" ref="M175:M180">IF(D175&lt;&gt;"Choisir…",INDEX(OFFSET(INDIRECT(AD$30),,2,,),MATCH(D175,INDIRECT(AD$30),0)),"")</f>
      </c>
      <c r="Z175" s="564">
        <v>569</v>
      </c>
      <c r="AA175" t="s">
        <v>851</v>
      </c>
      <c r="AB175" t="s">
        <v>314</v>
      </c>
      <c r="AC175" t="s">
        <v>852</v>
      </c>
      <c r="AD175" s="560">
        <v>2473.272</v>
      </c>
      <c r="AE175" t="s">
        <v>1130</v>
      </c>
    </row>
    <row r="176" spans="1:31" ht="12.75" customHeight="1">
      <c r="A176">
        <f t="shared" si="9"/>
        <v>0</v>
      </c>
      <c r="B176">
        <f t="shared" si="10"/>
        <v>0</v>
      </c>
      <c r="C176">
        <f>'1. Demande'!C178</f>
      </c>
      <c r="D176" t="str">
        <f>'1. Demande'!D178</f>
        <v>Choisir…</v>
      </c>
      <c r="E176" t="b">
        <v>0</v>
      </c>
      <c r="F176" t="str">
        <f t="shared" si="11"/>
        <v>Affaires</v>
      </c>
      <c r="G176">
        <f>'1. Demande'!V178</f>
        <v>0</v>
      </c>
      <c r="H176">
        <f>'1. Demande'!AA178</f>
        <v>0</v>
      </c>
      <c r="I176">
        <f>'1. Demande'!AE178</f>
        <v>0</v>
      </c>
      <c r="J176" s="287">
        <f>'1. Demande'!AJ178</f>
        <v>0</v>
      </c>
      <c r="K176" s="106">
        <f>'1. Demande'!R178</f>
        <v>0</v>
      </c>
      <c r="L176" s="10">
        <f ca="1" t="shared" si="12"/>
      </c>
      <c r="M176" s="10">
        <f ca="1" t="shared" si="13"/>
      </c>
      <c r="Z176" s="564">
        <v>570</v>
      </c>
      <c r="AA176" t="s">
        <v>424</v>
      </c>
      <c r="AB176" t="s">
        <v>314</v>
      </c>
      <c r="AC176" t="s">
        <v>891</v>
      </c>
      <c r="AD176" s="560">
        <v>2546.7</v>
      </c>
      <c r="AE176" t="s">
        <v>1130</v>
      </c>
    </row>
    <row r="177" spans="1:31" ht="12.75" customHeight="1">
      <c r="A177">
        <f t="shared" si="9"/>
        <v>0</v>
      </c>
      <c r="B177">
        <f t="shared" si="10"/>
        <v>0</v>
      </c>
      <c r="C177">
        <f>'1. Demande'!C179</f>
      </c>
      <c r="D177" t="str">
        <f>'1. Demande'!D179</f>
        <v>Choisir…</v>
      </c>
      <c r="E177" t="b">
        <v>0</v>
      </c>
      <c r="F177" t="str">
        <f t="shared" si="11"/>
        <v>Affaires</v>
      </c>
      <c r="G177">
        <f>'1. Demande'!V179</f>
        <v>0</v>
      </c>
      <c r="H177">
        <f>'1. Demande'!AA179</f>
        <v>0</v>
      </c>
      <c r="I177">
        <f>'1. Demande'!AE179</f>
        <v>0</v>
      </c>
      <c r="J177" s="287">
        <f>'1. Demande'!AJ179</f>
        <v>0</v>
      </c>
      <c r="K177" s="106">
        <f>'1. Demande'!R179</f>
        <v>0</v>
      </c>
      <c r="L177" s="10">
        <f ca="1" t="shared" si="12"/>
      </c>
      <c r="M177" s="10">
        <f ca="1" t="shared" si="13"/>
      </c>
      <c r="Z177" s="564">
        <v>571</v>
      </c>
      <c r="AA177" t="s">
        <v>416</v>
      </c>
      <c r="AB177" t="s">
        <v>314</v>
      </c>
      <c r="AC177" t="s">
        <v>887</v>
      </c>
      <c r="AD177" s="560">
        <v>2570.866</v>
      </c>
      <c r="AE177" t="s">
        <v>1130</v>
      </c>
    </row>
    <row r="178" spans="1:31" ht="12.75" customHeight="1">
      <c r="A178">
        <f t="shared" si="9"/>
        <v>0</v>
      </c>
      <c r="B178">
        <f t="shared" si="10"/>
        <v>0</v>
      </c>
      <c r="C178">
        <f>'1. Demande'!C180</f>
      </c>
      <c r="D178" t="str">
        <f>'1. Demande'!D180</f>
        <v>Choisir…</v>
      </c>
      <c r="E178" t="b">
        <v>0</v>
      </c>
      <c r="F178" t="str">
        <f t="shared" si="11"/>
        <v>Affaires</v>
      </c>
      <c r="G178">
        <f>'1. Demande'!V180</f>
        <v>0</v>
      </c>
      <c r="H178">
        <f>'1. Demande'!AA180</f>
        <v>0</v>
      </c>
      <c r="I178">
        <f>'1. Demande'!AE180</f>
        <v>0</v>
      </c>
      <c r="J178" s="287">
        <f>'1. Demande'!AJ180</f>
        <v>0</v>
      </c>
      <c r="K178" s="106">
        <f>'1. Demande'!R180</f>
        <v>0</v>
      </c>
      <c r="L178" s="10">
        <f ca="1" t="shared" si="12"/>
      </c>
      <c r="M178" s="10">
        <f ca="1" t="shared" si="13"/>
      </c>
      <c r="Z178" s="564">
        <v>572</v>
      </c>
      <c r="AA178" t="s">
        <v>8</v>
      </c>
      <c r="AB178" t="s">
        <v>314</v>
      </c>
      <c r="AC178" t="s">
        <v>1109</v>
      </c>
      <c r="AD178" s="560">
        <v>2687.9004</v>
      </c>
      <c r="AE178" t="s">
        <v>1131</v>
      </c>
    </row>
    <row r="179" spans="1:31" ht="12.75" customHeight="1">
      <c r="A179">
        <f t="shared" si="9"/>
        <v>0</v>
      </c>
      <c r="B179">
        <f t="shared" si="10"/>
        <v>0</v>
      </c>
      <c r="C179">
        <f>'1. Demande'!C181</f>
      </c>
      <c r="D179" t="str">
        <f>'1. Demande'!D181</f>
        <v>Choisir…</v>
      </c>
      <c r="E179" t="b">
        <v>0</v>
      </c>
      <c r="F179" t="str">
        <f t="shared" si="11"/>
        <v>Affaires</v>
      </c>
      <c r="G179">
        <f>'1. Demande'!V181</f>
        <v>0</v>
      </c>
      <c r="H179">
        <f>'1. Demande'!AA181</f>
        <v>0</v>
      </c>
      <c r="I179">
        <f>'1. Demande'!AE181</f>
        <v>0</v>
      </c>
      <c r="J179" s="287">
        <f>'1. Demande'!AJ181</f>
        <v>0</v>
      </c>
      <c r="K179" s="106">
        <f>'1. Demande'!R181</f>
        <v>0</v>
      </c>
      <c r="L179" s="10">
        <f ca="1" t="shared" si="12"/>
      </c>
      <c r="M179" s="10">
        <f ca="1" t="shared" si="13"/>
      </c>
      <c r="Z179" s="564">
        <v>573</v>
      </c>
      <c r="AA179" t="s">
        <v>19</v>
      </c>
      <c r="AB179" t="s">
        <v>314</v>
      </c>
      <c r="AC179" t="s">
        <v>20</v>
      </c>
      <c r="AD179" s="560">
        <v>2794.49</v>
      </c>
      <c r="AE179" t="s">
        <v>1130</v>
      </c>
    </row>
    <row r="180" spans="1:31" ht="12.75" customHeight="1">
      <c r="A180">
        <f t="shared" si="9"/>
        <v>0</v>
      </c>
      <c r="B180">
        <f t="shared" si="10"/>
        <v>0</v>
      </c>
      <c r="C180">
        <f>'1. Demande'!C182</f>
      </c>
      <c r="D180" t="str">
        <f>'1. Demande'!D182</f>
        <v>Choisir…</v>
      </c>
      <c r="E180" t="b">
        <v>0</v>
      </c>
      <c r="F180" t="str">
        <f t="shared" si="11"/>
        <v>Affaires</v>
      </c>
      <c r="G180">
        <f>'1. Demande'!V182</f>
        <v>0</v>
      </c>
      <c r="H180">
        <f>'1. Demande'!AA182</f>
        <v>0</v>
      </c>
      <c r="I180">
        <f>'1. Demande'!AE182</f>
        <v>0</v>
      </c>
      <c r="J180" s="287">
        <f>'1. Demande'!AJ182</f>
        <v>0</v>
      </c>
      <c r="K180" s="106">
        <f>'1. Demande'!R182</f>
        <v>0</v>
      </c>
      <c r="L180" s="10">
        <f ca="1" t="shared" si="12"/>
      </c>
      <c r="M180" s="10">
        <f ca="1" t="shared" si="13"/>
      </c>
      <c r="Z180" s="564">
        <v>574</v>
      </c>
      <c r="AA180" t="s">
        <v>1051</v>
      </c>
      <c r="AB180" s="146" t="s">
        <v>314</v>
      </c>
      <c r="AC180" t="s">
        <v>1110</v>
      </c>
      <c r="AD180" s="560">
        <v>2820</v>
      </c>
      <c r="AE180" t="s">
        <v>1127</v>
      </c>
    </row>
    <row r="181" spans="9:31" ht="12.75" customHeight="1">
      <c r="I181" s="287"/>
      <c r="K181" s="323"/>
      <c r="Z181" s="564">
        <v>575</v>
      </c>
      <c r="AA181" t="s">
        <v>15</v>
      </c>
      <c r="AB181" t="s">
        <v>314</v>
      </c>
      <c r="AC181" t="s">
        <v>16</v>
      </c>
      <c r="AD181" s="560">
        <v>2847.272</v>
      </c>
      <c r="AE181" t="s">
        <v>1130</v>
      </c>
    </row>
    <row r="182" spans="6:31" ht="12.75" customHeight="1">
      <c r="F182" s="287"/>
      <c r="H182" s="323"/>
      <c r="Z182" s="564">
        <v>576</v>
      </c>
      <c r="AA182" t="s">
        <v>13</v>
      </c>
      <c r="AB182" t="s">
        <v>314</v>
      </c>
      <c r="AC182" t="s">
        <v>14</v>
      </c>
      <c r="AD182" s="560">
        <v>2889.5</v>
      </c>
      <c r="AE182" t="s">
        <v>1130</v>
      </c>
    </row>
    <row r="183" spans="26:31" ht="12.75" customHeight="1">
      <c r="Z183" s="564">
        <v>577</v>
      </c>
      <c r="AA183" t="s">
        <v>1052</v>
      </c>
      <c r="AB183" t="s">
        <v>314</v>
      </c>
      <c r="AC183" t="s">
        <v>1111</v>
      </c>
      <c r="AD183" s="560">
        <v>2910</v>
      </c>
      <c r="AE183" t="s">
        <v>1127</v>
      </c>
    </row>
    <row r="184" spans="26:31" ht="12.75" customHeight="1">
      <c r="Z184" s="564">
        <v>578</v>
      </c>
      <c r="AA184" t="s">
        <v>1053</v>
      </c>
      <c r="AB184" t="s">
        <v>314</v>
      </c>
      <c r="AC184" t="s">
        <v>1112</v>
      </c>
      <c r="AD184" s="560">
        <v>3070</v>
      </c>
      <c r="AE184" t="s">
        <v>1127</v>
      </c>
    </row>
    <row r="185" spans="16:31" ht="12.75" customHeight="1">
      <c r="P185" s="324" t="s">
        <v>825</v>
      </c>
      <c r="Z185" s="564">
        <v>579</v>
      </c>
      <c r="AA185" t="s">
        <v>418</v>
      </c>
      <c r="AB185" t="s">
        <v>314</v>
      </c>
      <c r="AC185" t="s">
        <v>1113</v>
      </c>
      <c r="AD185" s="560">
        <v>3100.165</v>
      </c>
      <c r="AE185" t="s">
        <v>1130</v>
      </c>
    </row>
    <row r="186" spans="26:31" ht="12.75" customHeight="1">
      <c r="Z186" s="564">
        <v>580</v>
      </c>
      <c r="AA186" t="s">
        <v>871</v>
      </c>
      <c r="AB186" t="s">
        <v>314</v>
      </c>
      <c r="AC186" t="s">
        <v>1114</v>
      </c>
      <c r="AD186" s="560">
        <v>3170</v>
      </c>
      <c r="AE186" t="s">
        <v>1127</v>
      </c>
    </row>
    <row r="187" spans="26:31" ht="12.75" customHeight="1">
      <c r="Z187" s="564">
        <v>581</v>
      </c>
      <c r="AA187" t="s">
        <v>426</v>
      </c>
      <c r="AB187" t="s">
        <v>314</v>
      </c>
      <c r="AC187" t="s">
        <v>897</v>
      </c>
      <c r="AD187" s="560">
        <v>3257.1</v>
      </c>
      <c r="AE187" t="s">
        <v>1130</v>
      </c>
    </row>
    <row r="188" spans="26:31" ht="12.75" customHeight="1">
      <c r="Z188" s="564">
        <v>582</v>
      </c>
      <c r="AA188" t="s">
        <v>390</v>
      </c>
      <c r="AB188" s="146" t="s">
        <v>314</v>
      </c>
      <c r="AC188" t="s">
        <v>1115</v>
      </c>
      <c r="AD188" s="560">
        <v>3350</v>
      </c>
      <c r="AE188" t="s">
        <v>1127</v>
      </c>
    </row>
    <row r="189" spans="26:31" ht="12.75" customHeight="1">
      <c r="Z189" s="564">
        <v>583</v>
      </c>
      <c r="AA189" t="s">
        <v>47</v>
      </c>
      <c r="AB189" s="146" t="s">
        <v>314</v>
      </c>
      <c r="AC189" t="s">
        <v>1116</v>
      </c>
      <c r="AD189" s="560">
        <v>3416.8268</v>
      </c>
      <c r="AE189" t="s">
        <v>1130</v>
      </c>
    </row>
    <row r="190" spans="26:31" ht="12.75" customHeight="1">
      <c r="Z190" s="564">
        <v>584</v>
      </c>
      <c r="AA190" t="s">
        <v>437</v>
      </c>
      <c r="AB190" s="146" t="s">
        <v>314</v>
      </c>
      <c r="AC190" t="s">
        <v>51</v>
      </c>
      <c r="AD190" s="560">
        <v>3870</v>
      </c>
      <c r="AE190" t="s">
        <v>1130</v>
      </c>
    </row>
    <row r="191" spans="26:31" ht="12.75" customHeight="1">
      <c r="Z191" s="564">
        <v>585</v>
      </c>
      <c r="AA191" t="s">
        <v>420</v>
      </c>
      <c r="AB191" s="146" t="s">
        <v>314</v>
      </c>
      <c r="AC191" t="s">
        <v>845</v>
      </c>
      <c r="AD191" s="560">
        <v>3942.8</v>
      </c>
      <c r="AE191" t="s">
        <v>1130</v>
      </c>
    </row>
    <row r="192" spans="26:31" ht="12.75" customHeight="1">
      <c r="Z192" s="564">
        <v>586</v>
      </c>
      <c r="AA192" t="s">
        <v>847</v>
      </c>
      <c r="AB192" s="146" t="s">
        <v>314</v>
      </c>
      <c r="AC192" t="s">
        <v>848</v>
      </c>
      <c r="AD192" s="560">
        <v>3985</v>
      </c>
      <c r="AE192" t="s">
        <v>1130</v>
      </c>
    </row>
    <row r="193" spans="7:31" ht="12.75" customHeight="1">
      <c r="G193" t="s">
        <v>358</v>
      </c>
      <c r="H193" s="243" t="s">
        <v>236</v>
      </c>
      <c r="I193" s="243" t="s">
        <v>161</v>
      </c>
      <c r="J193" s="244" t="s">
        <v>190</v>
      </c>
      <c r="K193" s="245" t="s">
        <v>262</v>
      </c>
      <c r="L193" s="245" t="s">
        <v>113</v>
      </c>
      <c r="M193" s="245" t="s">
        <v>172</v>
      </c>
      <c r="N193" s="243" t="s">
        <v>827</v>
      </c>
      <c r="O193" t="s">
        <v>145</v>
      </c>
      <c r="P193" s="318" t="s">
        <v>810</v>
      </c>
      <c r="Q193" s="318" t="s">
        <v>811</v>
      </c>
      <c r="R193" s="318" t="s">
        <v>826</v>
      </c>
      <c r="Z193" s="564">
        <v>587</v>
      </c>
      <c r="AA193" t="s">
        <v>440</v>
      </c>
      <c r="AB193" s="146" t="s">
        <v>314</v>
      </c>
      <c r="AC193" t="s">
        <v>54</v>
      </c>
      <c r="AD193" s="560">
        <v>4299.374</v>
      </c>
      <c r="AE193" t="s">
        <v>1130</v>
      </c>
    </row>
    <row r="194" spans="7:31" ht="12.75" customHeight="1">
      <c r="G194">
        <f aca="true" t="shared" si="14" ref="G194:G222">DQ$2</f>
        <v>0</v>
      </c>
      <c r="H194">
        <f>IF('Autres sites'!B15="","",'Autres sites'!B15)</f>
      </c>
      <c r="I194">
        <f>IF('Autres sites'!C15="","",'Autres sites'!C15)</f>
      </c>
      <c r="J194" t="str">
        <f>IF('Autres sites'!D15="","",'Autres sites'!D15)</f>
        <v>Choisir…</v>
      </c>
      <c r="K194">
        <f>IF('Autres sites'!E15="","",'Autres sites'!E15)</f>
      </c>
      <c r="L194">
        <f>IF('Autres sites'!F15="","",'Autres sites'!F15)</f>
      </c>
      <c r="M194">
        <f>IF('Autres sites'!G15="","",'Autres sites'!G15)</f>
      </c>
      <c r="N194">
        <f>IF('Autres sites'!H15="","",'Autres sites'!H15)</f>
      </c>
      <c r="O194">
        <f>IF('Autres sites'!I15="","",'Autres sites'!I15)</f>
      </c>
      <c r="P194">
        <f>IF('Autres sites'!J15="","",'Autres sites'!J15)</f>
      </c>
      <c r="Q194">
        <f>IF('Autres sites'!K15="","",'Autres sites'!K15)</f>
      </c>
      <c r="R194" t="b">
        <f>IF('Autres sites'!L15="","",'Autres sites'!L15)</f>
        <v>0</v>
      </c>
      <c r="Z194" s="564">
        <v>588</v>
      </c>
      <c r="AA194" t="s">
        <v>421</v>
      </c>
      <c r="AB194" s="146" t="s">
        <v>314</v>
      </c>
      <c r="AC194" t="s">
        <v>1117</v>
      </c>
      <c r="AD194" s="560">
        <v>4584.16</v>
      </c>
      <c r="AE194" t="s">
        <v>1130</v>
      </c>
    </row>
    <row r="195" spans="7:31" ht="15">
      <c r="G195">
        <f t="shared" si="14"/>
        <v>0</v>
      </c>
      <c r="H195">
        <f>IF('Autres sites'!B16="","",'Autres sites'!B16)</f>
      </c>
      <c r="I195">
        <f>IF('Autres sites'!C16="","",'Autres sites'!C16)</f>
      </c>
      <c r="J195" t="str">
        <f>IF('Autres sites'!D16="","",'Autres sites'!D16)</f>
        <v>Choisir…</v>
      </c>
      <c r="K195">
        <f>IF('Autres sites'!E16="","",'Autres sites'!E16)</f>
      </c>
      <c r="L195">
        <f>IF('Autres sites'!F16="","",'Autres sites'!F16)</f>
      </c>
      <c r="M195">
        <f>IF('Autres sites'!G16="","",'Autres sites'!G16)</f>
      </c>
      <c r="N195">
        <f>IF('Autres sites'!H16="","",'Autres sites'!H16)</f>
      </c>
      <c r="O195">
        <f>IF('Autres sites'!I16="","",'Autres sites'!I16)</f>
      </c>
      <c r="P195">
        <f>IF('Autres sites'!J16="","",'Autres sites'!J16)</f>
      </c>
      <c r="Q195">
        <f>IF('Autres sites'!K16="","",'Autres sites'!K16)</f>
      </c>
      <c r="R195" t="b">
        <f>IF('Autres sites'!L16="","",'Autres sites'!L16)</f>
        <v>0</v>
      </c>
      <c r="Z195" s="564">
        <v>589</v>
      </c>
      <c r="AA195" t="s">
        <v>400</v>
      </c>
      <c r="AB195" s="146" t="s">
        <v>314</v>
      </c>
      <c r="AC195" t="s">
        <v>854</v>
      </c>
      <c r="AD195" s="560">
        <v>4660</v>
      </c>
      <c r="AE195" t="s">
        <v>1127</v>
      </c>
    </row>
    <row r="196" spans="7:31" ht="15">
      <c r="G196">
        <f t="shared" si="14"/>
        <v>0</v>
      </c>
      <c r="H196">
        <f>IF('Autres sites'!B17="","",'Autres sites'!B17)</f>
      </c>
      <c r="I196">
        <f>IF('Autres sites'!C17="","",'Autres sites'!C17)</f>
      </c>
      <c r="J196" t="str">
        <f>IF('Autres sites'!D17="","",'Autres sites'!D17)</f>
        <v>Choisir…</v>
      </c>
      <c r="K196">
        <f>IF('Autres sites'!E17="","",'Autres sites'!E17)</f>
      </c>
      <c r="L196">
        <f>IF('Autres sites'!F17="","",'Autres sites'!F17)</f>
      </c>
      <c r="M196">
        <f>IF('Autres sites'!G17="","",'Autres sites'!G17)</f>
      </c>
      <c r="N196">
        <f>IF('Autres sites'!H17="","",'Autres sites'!H17)</f>
      </c>
      <c r="O196">
        <f>IF('Autres sites'!I17="","",'Autres sites'!I17)</f>
      </c>
      <c r="P196">
        <f>IF('Autres sites'!J17="","",'Autres sites'!J17)</f>
      </c>
      <c r="Q196">
        <f>IF('Autres sites'!K17="","",'Autres sites'!K17)</f>
      </c>
      <c r="R196" t="b">
        <f>IF('Autres sites'!L17="","",'Autres sites'!L17)</f>
        <v>0</v>
      </c>
      <c r="Z196" s="564">
        <v>590</v>
      </c>
      <c r="AA196" t="s">
        <v>438</v>
      </c>
      <c r="AB196" s="146" t="s">
        <v>314</v>
      </c>
      <c r="AC196" t="s">
        <v>52</v>
      </c>
      <c r="AD196" s="560">
        <v>4785.92</v>
      </c>
      <c r="AE196" t="s">
        <v>1130</v>
      </c>
    </row>
    <row r="197" spans="7:31" ht="15">
      <c r="G197">
        <f t="shared" si="14"/>
        <v>0</v>
      </c>
      <c r="H197">
        <f>IF('Autres sites'!B18="","",'Autres sites'!B18)</f>
      </c>
      <c r="I197">
        <f>IF('Autres sites'!C18="","",'Autres sites'!C18)</f>
      </c>
      <c r="J197" t="str">
        <f>IF('Autres sites'!D18="","",'Autres sites'!D18)</f>
        <v>Choisir…</v>
      </c>
      <c r="K197">
        <f>IF('Autres sites'!E18="","",'Autres sites'!E18)</f>
      </c>
      <c r="L197">
        <f>IF('Autres sites'!F18="","",'Autres sites'!F18)</f>
      </c>
      <c r="M197">
        <f>IF('Autres sites'!G18="","",'Autres sites'!G18)</f>
      </c>
      <c r="N197">
        <f>IF('Autres sites'!H18="","",'Autres sites'!H18)</f>
      </c>
      <c r="O197">
        <f>IF('Autres sites'!I18="","",'Autres sites'!I18)</f>
      </c>
      <c r="P197">
        <f>IF('Autres sites'!J18="","",'Autres sites'!J18)</f>
      </c>
      <c r="Q197">
        <f>IF('Autres sites'!K18="","",'Autres sites'!K18)</f>
      </c>
      <c r="R197" t="b">
        <f>IF('Autres sites'!L18="","",'Autres sites'!L18)</f>
        <v>0</v>
      </c>
      <c r="Z197" s="564">
        <v>591</v>
      </c>
      <c r="AA197" t="s">
        <v>388</v>
      </c>
      <c r="AB197" s="146" t="s">
        <v>314</v>
      </c>
      <c r="AC197" t="s">
        <v>1118</v>
      </c>
      <c r="AD197" s="560">
        <v>4800</v>
      </c>
      <c r="AE197" t="s">
        <v>1127</v>
      </c>
    </row>
    <row r="198" spans="7:31" ht="15">
      <c r="G198">
        <f t="shared" si="14"/>
        <v>0</v>
      </c>
      <c r="H198">
        <f>IF('Autres sites'!B19="","",'Autres sites'!B19)</f>
      </c>
      <c r="I198">
        <f>IF('Autres sites'!C19="","",'Autres sites'!C19)</f>
      </c>
      <c r="J198" t="str">
        <f>IF('Autres sites'!D19="","",'Autres sites'!D19)</f>
        <v>Choisir…</v>
      </c>
      <c r="K198">
        <f>IF('Autres sites'!E19="","",'Autres sites'!E19)</f>
      </c>
      <c r="L198">
        <f>IF('Autres sites'!F19="","",'Autres sites'!F19)</f>
      </c>
      <c r="M198">
        <f>IF('Autres sites'!G19="","",'Autres sites'!G19)</f>
      </c>
      <c r="N198">
        <f>IF('Autres sites'!H19="","",'Autres sites'!H19)</f>
      </c>
      <c r="O198">
        <f>IF('Autres sites'!I19="","",'Autres sites'!I19)</f>
      </c>
      <c r="P198">
        <f>IF('Autres sites'!J19="","",'Autres sites'!J19)</f>
      </c>
      <c r="Q198">
        <f>IF('Autres sites'!K19="","",'Autres sites'!K19)</f>
      </c>
      <c r="R198" t="b">
        <f>IF('Autres sites'!L19="","",'Autres sites'!L19)</f>
        <v>0</v>
      </c>
      <c r="Z198" s="564">
        <v>592</v>
      </c>
      <c r="AA198" t="s">
        <v>1054</v>
      </c>
      <c r="AB198" s="146" t="s">
        <v>314</v>
      </c>
      <c r="AC198" t="s">
        <v>1119</v>
      </c>
      <c r="AD198" s="560">
        <v>5350</v>
      </c>
      <c r="AE198" t="s">
        <v>1127</v>
      </c>
    </row>
    <row r="199" spans="7:31" ht="15">
      <c r="G199">
        <f t="shared" si="14"/>
        <v>0</v>
      </c>
      <c r="H199">
        <f>IF('Autres sites'!B20="","",'Autres sites'!B20)</f>
      </c>
      <c r="I199">
        <f>IF('Autres sites'!C20="","",'Autres sites'!C20)</f>
      </c>
      <c r="J199" t="str">
        <f>IF('Autres sites'!D20="","",'Autres sites'!D20)</f>
        <v>Choisir…</v>
      </c>
      <c r="K199">
        <f>IF('Autres sites'!E20="","",'Autres sites'!E20)</f>
      </c>
      <c r="L199">
        <f>IF('Autres sites'!F20="","",'Autres sites'!F20)</f>
      </c>
      <c r="M199">
        <f>IF('Autres sites'!G20="","",'Autres sites'!G20)</f>
      </c>
      <c r="N199">
        <f>IF('Autres sites'!H20="","",'Autres sites'!H20)</f>
      </c>
      <c r="O199">
        <f>IF('Autres sites'!I20="","",'Autres sites'!I20)</f>
      </c>
      <c r="P199">
        <f>IF('Autres sites'!J20="","",'Autres sites'!J20)</f>
      </c>
      <c r="Q199">
        <f>IF('Autres sites'!K20="","",'Autres sites'!K20)</f>
      </c>
      <c r="R199" t="b">
        <f>IF('Autres sites'!L20="","",'Autres sites'!L20)</f>
        <v>0</v>
      </c>
      <c r="Z199" s="564">
        <v>593</v>
      </c>
      <c r="AA199" t="s">
        <v>1055</v>
      </c>
      <c r="AB199" s="146" t="s">
        <v>314</v>
      </c>
      <c r="AC199" t="s">
        <v>1120</v>
      </c>
      <c r="AD199" s="560">
        <v>5560</v>
      </c>
      <c r="AE199" t="s">
        <v>1127</v>
      </c>
    </row>
    <row r="200" spans="7:31" ht="15">
      <c r="G200">
        <f t="shared" si="14"/>
        <v>0</v>
      </c>
      <c r="H200">
        <f>IF('Autres sites'!B21="","",'Autres sites'!B21)</f>
      </c>
      <c r="I200">
        <f>IF('Autres sites'!C21="","",'Autres sites'!C21)</f>
      </c>
      <c r="J200" t="str">
        <f>IF('Autres sites'!D21="","",'Autres sites'!D21)</f>
        <v>Choisir…</v>
      </c>
      <c r="K200">
        <f>IF('Autres sites'!E21="","",'Autres sites'!E21)</f>
      </c>
      <c r="L200">
        <f>IF('Autres sites'!F21="","",'Autres sites'!F21)</f>
      </c>
      <c r="M200">
        <f>IF('Autres sites'!G21="","",'Autres sites'!G21)</f>
      </c>
      <c r="N200">
        <f>IF('Autres sites'!H21="","",'Autres sites'!H21)</f>
      </c>
      <c r="O200">
        <f>IF('Autres sites'!I21="","",'Autres sites'!I21)</f>
      </c>
      <c r="P200">
        <f>IF('Autres sites'!J21="","",'Autres sites'!J21)</f>
      </c>
      <c r="Q200">
        <f>IF('Autres sites'!K21="","",'Autres sites'!K21)</f>
      </c>
      <c r="R200" t="b">
        <f>IF('Autres sites'!L21="","",'Autres sites'!L21)</f>
        <v>0</v>
      </c>
      <c r="Z200" s="564">
        <v>594</v>
      </c>
      <c r="AA200" t="s">
        <v>57</v>
      </c>
      <c r="AB200" s="146" t="s">
        <v>314</v>
      </c>
      <c r="AC200" t="s">
        <v>58</v>
      </c>
      <c r="AD200" s="560">
        <v>5758.400000000001</v>
      </c>
      <c r="AE200" t="s">
        <v>1130</v>
      </c>
    </row>
    <row r="201" spans="7:31" ht="15">
      <c r="G201">
        <f t="shared" si="14"/>
        <v>0</v>
      </c>
      <c r="H201">
        <f>IF('Autres sites'!B22="","",'Autres sites'!B22)</f>
      </c>
      <c r="I201">
        <f>IF('Autres sites'!C22="","",'Autres sites'!C22)</f>
      </c>
      <c r="J201" t="str">
        <f>IF('Autres sites'!D22="","",'Autres sites'!D22)</f>
        <v>Choisir…</v>
      </c>
      <c r="K201">
        <f>IF('Autres sites'!E22="","",'Autres sites'!E22)</f>
      </c>
      <c r="L201">
        <f>IF('Autres sites'!F22="","",'Autres sites'!F22)</f>
      </c>
      <c r="M201">
        <f>IF('Autres sites'!G22="","",'Autres sites'!G22)</f>
      </c>
      <c r="N201">
        <f>IF('Autres sites'!H22="","",'Autres sites'!H22)</f>
      </c>
      <c r="O201">
        <f>IF('Autres sites'!I22="","",'Autres sites'!I22)</f>
      </c>
      <c r="P201">
        <f>IF('Autres sites'!J22="","",'Autres sites'!J22)</f>
      </c>
      <c r="Q201">
        <f>IF('Autres sites'!K22="","",'Autres sites'!K22)</f>
      </c>
      <c r="R201" t="b">
        <f>IF('Autres sites'!L22="","",'Autres sites'!L22)</f>
        <v>0</v>
      </c>
      <c r="Z201" s="564">
        <v>595</v>
      </c>
      <c r="AA201" t="s">
        <v>403</v>
      </c>
      <c r="AB201" s="146" t="s">
        <v>314</v>
      </c>
      <c r="AC201" t="s">
        <v>855</v>
      </c>
      <c r="AD201" s="560">
        <v>5820</v>
      </c>
      <c r="AE201" t="s">
        <v>1127</v>
      </c>
    </row>
    <row r="202" spans="7:31" ht="15">
      <c r="G202">
        <f t="shared" si="14"/>
        <v>0</v>
      </c>
      <c r="H202">
        <f>IF('Autres sites'!B23="","",'Autres sites'!B23)</f>
      </c>
      <c r="I202">
        <f>IF('Autres sites'!C23="","",'Autres sites'!C23)</f>
      </c>
      <c r="J202" t="str">
        <f>IF('Autres sites'!D23="","",'Autres sites'!D23)</f>
        <v>Choisir…</v>
      </c>
      <c r="K202">
        <f>IF('Autres sites'!E23="","",'Autres sites'!E23)</f>
      </c>
      <c r="L202">
        <f>IF('Autres sites'!F23="","",'Autres sites'!F23)</f>
      </c>
      <c r="M202">
        <f>IF('Autres sites'!G23="","",'Autres sites'!G23)</f>
      </c>
      <c r="N202">
        <f>IF('Autres sites'!H23="","",'Autres sites'!H23)</f>
      </c>
      <c r="O202">
        <f>IF('Autres sites'!I23="","",'Autres sites'!I23)</f>
      </c>
      <c r="P202">
        <f>IF('Autres sites'!J23="","",'Autres sites'!J23)</f>
      </c>
      <c r="Q202">
        <f>IF('Autres sites'!K23="","",'Autres sites'!K23)</f>
      </c>
      <c r="R202" t="b">
        <f>IF('Autres sites'!L23="","",'Autres sites'!L23)</f>
        <v>0</v>
      </c>
      <c r="Z202" s="564">
        <v>596</v>
      </c>
      <c r="AA202" t="s">
        <v>412</v>
      </c>
      <c r="AB202" s="146" t="s">
        <v>314</v>
      </c>
      <c r="AC202" t="s">
        <v>860</v>
      </c>
      <c r="AD202" s="560">
        <v>6290</v>
      </c>
      <c r="AE202" t="s">
        <v>1127</v>
      </c>
    </row>
    <row r="203" spans="7:31" ht="15">
      <c r="G203">
        <f t="shared" si="14"/>
        <v>0</v>
      </c>
      <c r="H203">
        <f>IF('Autres sites'!B24="","",'Autres sites'!B24)</f>
      </c>
      <c r="I203">
        <f>IF('Autres sites'!C24="","",'Autres sites'!C24)</f>
      </c>
      <c r="J203" t="str">
        <f>IF('Autres sites'!D24="","",'Autres sites'!D24)</f>
        <v>Choisir…</v>
      </c>
      <c r="K203">
        <f>IF('Autres sites'!E24="","",'Autres sites'!E24)</f>
      </c>
      <c r="L203">
        <f>IF('Autres sites'!F24="","",'Autres sites'!F24)</f>
      </c>
      <c r="M203">
        <f>IF('Autres sites'!G24="","",'Autres sites'!G24)</f>
      </c>
      <c r="N203">
        <f>IF('Autres sites'!H24="","",'Autres sites'!H24)</f>
      </c>
      <c r="O203">
        <f>IF('Autres sites'!I24="","",'Autres sites'!I24)</f>
      </c>
      <c r="P203">
        <f>IF('Autres sites'!J24="","",'Autres sites'!J24)</f>
      </c>
      <c r="Q203">
        <f>IF('Autres sites'!K24="","",'Autres sites'!K24)</f>
      </c>
      <c r="R203" t="b">
        <f>IF('Autres sites'!L24="","",'Autres sites'!L24)</f>
        <v>0</v>
      </c>
      <c r="Z203" s="564">
        <v>597</v>
      </c>
      <c r="AA203" t="s">
        <v>1056</v>
      </c>
      <c r="AB203" s="146" t="s">
        <v>314</v>
      </c>
      <c r="AC203" t="s">
        <v>1121</v>
      </c>
      <c r="AD203" s="560">
        <v>6450</v>
      </c>
      <c r="AE203" t="s">
        <v>1127</v>
      </c>
    </row>
    <row r="204" spans="7:31" ht="15">
      <c r="G204">
        <f t="shared" si="14"/>
        <v>0</v>
      </c>
      <c r="H204">
        <f>IF('Autres sites'!B25="","",'Autres sites'!B25)</f>
      </c>
      <c r="I204">
        <f>IF('Autres sites'!C25="","",'Autres sites'!C25)</f>
      </c>
      <c r="J204" t="str">
        <f>IF('Autres sites'!D25="","",'Autres sites'!D25)</f>
        <v>Choisir…</v>
      </c>
      <c r="K204">
        <f>IF('Autres sites'!E25="","",'Autres sites'!E25)</f>
      </c>
      <c r="L204">
        <f>IF('Autres sites'!F25="","",'Autres sites'!F25)</f>
      </c>
      <c r="M204">
        <f>IF('Autres sites'!G25="","",'Autres sites'!G25)</f>
      </c>
      <c r="N204">
        <f>IF('Autres sites'!H25="","",'Autres sites'!H25)</f>
      </c>
      <c r="O204">
        <f>IF('Autres sites'!I25="","",'Autres sites'!I25)</f>
      </c>
      <c r="P204">
        <f>IF('Autres sites'!J25="","",'Autres sites'!J25)</f>
      </c>
      <c r="Q204">
        <f>IF('Autres sites'!K25="","",'Autres sites'!K25)</f>
      </c>
      <c r="R204" t="b">
        <f>IF('Autres sites'!L25="","",'Autres sites'!L25)</f>
        <v>0</v>
      </c>
      <c r="Z204" s="564">
        <v>598</v>
      </c>
      <c r="AA204" t="s">
        <v>879</v>
      </c>
      <c r="AB204" s="146" t="s">
        <v>314</v>
      </c>
      <c r="AC204" t="s">
        <v>393</v>
      </c>
      <c r="AD204" s="560">
        <v>6630</v>
      </c>
      <c r="AE204" t="s">
        <v>1127</v>
      </c>
    </row>
    <row r="205" spans="7:31" ht="15">
      <c r="G205">
        <f t="shared" si="14"/>
        <v>0</v>
      </c>
      <c r="H205">
        <f>IF('Autres sites'!B26="","",'Autres sites'!B26)</f>
      </c>
      <c r="I205">
        <f>IF('Autres sites'!C26="","",'Autres sites'!C26)</f>
      </c>
      <c r="J205" t="str">
        <f>IF('Autres sites'!D26="","",'Autres sites'!D26)</f>
        <v>Choisir…</v>
      </c>
      <c r="K205">
        <f>IF('Autres sites'!E26="","",'Autres sites'!E26)</f>
      </c>
      <c r="L205">
        <f>IF('Autres sites'!F26="","",'Autres sites'!F26)</f>
      </c>
      <c r="M205">
        <f>IF('Autres sites'!G26="","",'Autres sites'!G26)</f>
      </c>
      <c r="N205">
        <f>IF('Autres sites'!H26="","",'Autres sites'!H26)</f>
      </c>
      <c r="O205">
        <f>IF('Autres sites'!I26="","",'Autres sites'!I26)</f>
      </c>
      <c r="P205">
        <f>IF('Autres sites'!J26="","",'Autres sites'!J26)</f>
      </c>
      <c r="Q205">
        <f>IF('Autres sites'!K26="","",'Autres sites'!K26)</f>
      </c>
      <c r="R205" t="b">
        <f>IF('Autres sites'!L26="","",'Autres sites'!L26)</f>
        <v>0</v>
      </c>
      <c r="Z205" s="564">
        <v>599</v>
      </c>
      <c r="AA205" t="s">
        <v>419</v>
      </c>
      <c r="AB205" s="146" t="s">
        <v>314</v>
      </c>
      <c r="AC205" t="s">
        <v>889</v>
      </c>
      <c r="AD205" s="560">
        <v>7264.765</v>
      </c>
      <c r="AE205" t="s">
        <v>1130</v>
      </c>
    </row>
    <row r="206" spans="7:31" ht="15">
      <c r="G206">
        <f t="shared" si="14"/>
        <v>0</v>
      </c>
      <c r="H206">
        <f>IF('Autres sites'!B27="","",'Autres sites'!B27)</f>
      </c>
      <c r="I206">
        <f>IF('Autres sites'!C27="","",'Autres sites'!C27)</f>
      </c>
      <c r="J206" t="str">
        <f>IF('Autres sites'!D27="","",'Autres sites'!D27)</f>
        <v>Choisir…</v>
      </c>
      <c r="K206">
        <f>IF('Autres sites'!E27="","",'Autres sites'!E27)</f>
      </c>
      <c r="L206">
        <f>IF('Autres sites'!F27="","",'Autres sites'!F27)</f>
      </c>
      <c r="M206">
        <f>IF('Autres sites'!G27="","",'Autres sites'!G27)</f>
      </c>
      <c r="N206">
        <f>IF('Autres sites'!H27="","",'Autres sites'!H27)</f>
      </c>
      <c r="O206">
        <f>IF('Autres sites'!I27="","",'Autres sites'!I27)</f>
      </c>
      <c r="P206">
        <f>IF('Autres sites'!J27="","",'Autres sites'!J27)</f>
      </c>
      <c r="Q206">
        <f>IF('Autres sites'!K27="","",'Autres sites'!K27)</f>
      </c>
      <c r="R206" t="b">
        <f>IF('Autres sites'!L27="","",'Autres sites'!L27)</f>
        <v>0</v>
      </c>
      <c r="Z206" s="564">
        <v>600</v>
      </c>
      <c r="AA206" t="s">
        <v>443</v>
      </c>
      <c r="AB206" s="146" t="s">
        <v>314</v>
      </c>
      <c r="AC206" t="s">
        <v>875</v>
      </c>
      <c r="AD206" s="560">
        <v>7480</v>
      </c>
      <c r="AE206" t="s">
        <v>876</v>
      </c>
    </row>
    <row r="207" spans="7:31" ht="15">
      <c r="G207">
        <f t="shared" si="14"/>
        <v>0</v>
      </c>
      <c r="H207">
        <f>IF('Autres sites'!B28="","",'Autres sites'!B28)</f>
      </c>
      <c r="I207">
        <f>IF('Autres sites'!C28="","",'Autres sites'!C28)</f>
      </c>
      <c r="J207" t="str">
        <f>IF('Autres sites'!D28="","",'Autres sites'!D28)</f>
        <v>Choisir…</v>
      </c>
      <c r="K207">
        <f>IF('Autres sites'!E28="","",'Autres sites'!E28)</f>
      </c>
      <c r="L207">
        <f>IF('Autres sites'!F28="","",'Autres sites'!F28)</f>
      </c>
      <c r="M207">
        <f>IF('Autres sites'!G28="","",'Autres sites'!G28)</f>
      </c>
      <c r="N207">
        <f>IF('Autres sites'!H28="","",'Autres sites'!H28)</f>
      </c>
      <c r="O207">
        <f>IF('Autres sites'!I28="","",'Autres sites'!I28)</f>
      </c>
      <c r="P207">
        <f>IF('Autres sites'!J28="","",'Autres sites'!J28)</f>
      </c>
      <c r="Q207">
        <f>IF('Autres sites'!K28="","",'Autres sites'!K28)</f>
      </c>
      <c r="R207" t="b">
        <f>IF('Autres sites'!L28="","",'Autres sites'!L28)</f>
        <v>0</v>
      </c>
      <c r="Z207" s="564">
        <v>601</v>
      </c>
      <c r="AA207" t="s">
        <v>436</v>
      </c>
      <c r="AB207" s="146" t="s">
        <v>314</v>
      </c>
      <c r="AC207" t="s">
        <v>50</v>
      </c>
      <c r="AD207" s="560">
        <v>7533.57</v>
      </c>
      <c r="AE207" t="s">
        <v>1130</v>
      </c>
    </row>
    <row r="208" spans="7:31" ht="15">
      <c r="G208">
        <f t="shared" si="14"/>
        <v>0</v>
      </c>
      <c r="H208">
        <f>IF('Autres sites'!B29="","",'Autres sites'!B29)</f>
      </c>
      <c r="I208">
        <f>IF('Autres sites'!C29="","",'Autres sites'!C29)</f>
      </c>
      <c r="J208" t="str">
        <f>IF('Autres sites'!D29="","",'Autres sites'!D29)</f>
        <v>Choisir…</v>
      </c>
      <c r="K208">
        <f>IF('Autres sites'!E29="","",'Autres sites'!E29)</f>
      </c>
      <c r="L208">
        <f>IF('Autres sites'!F29="","",'Autres sites'!F29)</f>
      </c>
      <c r="M208">
        <f>IF('Autres sites'!G29="","",'Autres sites'!G29)</f>
      </c>
      <c r="N208">
        <f>IF('Autres sites'!H29="","",'Autres sites'!H29)</f>
      </c>
      <c r="O208">
        <f>IF('Autres sites'!I29="","",'Autres sites'!I29)</f>
      </c>
      <c r="P208">
        <f>IF('Autres sites'!J29="","",'Autres sites'!J29)</f>
      </c>
      <c r="Q208">
        <f>IF('Autres sites'!K29="","",'Autres sites'!K29)</f>
      </c>
      <c r="R208" t="b">
        <f>IF('Autres sites'!L29="","",'Autres sites'!L29)</f>
        <v>0</v>
      </c>
      <c r="Z208" s="564">
        <v>602</v>
      </c>
      <c r="AA208" t="s">
        <v>405</v>
      </c>
      <c r="AB208" s="146" t="s">
        <v>314</v>
      </c>
      <c r="AC208" t="s">
        <v>857</v>
      </c>
      <c r="AD208" s="560">
        <v>7670</v>
      </c>
      <c r="AE208" t="s">
        <v>1127</v>
      </c>
    </row>
    <row r="209" spans="7:31" ht="15">
      <c r="G209">
        <f t="shared" si="14"/>
        <v>0</v>
      </c>
      <c r="H209">
        <f>IF('Autres sites'!B30="","",'Autres sites'!B30)</f>
      </c>
      <c r="I209">
        <f>IF('Autres sites'!C30="","",'Autres sites'!C30)</f>
      </c>
      <c r="J209" t="str">
        <f>IF('Autres sites'!D30="","",'Autres sites'!D30)</f>
        <v>Choisir…</v>
      </c>
      <c r="K209">
        <f>IF('Autres sites'!E30="","",'Autres sites'!E30)</f>
      </c>
      <c r="L209">
        <f>IF('Autres sites'!F30="","",'Autres sites'!F30)</f>
      </c>
      <c r="M209">
        <f>IF('Autres sites'!G30="","",'Autres sites'!G30)</f>
      </c>
      <c r="N209">
        <f>IF('Autres sites'!H30="","",'Autres sites'!H30)</f>
      </c>
      <c r="O209">
        <f>IF('Autres sites'!I30="","",'Autres sites'!I30)</f>
      </c>
      <c r="P209">
        <f>IF('Autres sites'!J30="","",'Autres sites'!J30)</f>
      </c>
      <c r="Q209">
        <f>IF('Autres sites'!K30="","",'Autres sites'!K30)</f>
      </c>
      <c r="R209" t="b">
        <f>IF('Autres sites'!L30="","",'Autres sites'!L30)</f>
        <v>0</v>
      </c>
      <c r="Z209" s="564">
        <v>603</v>
      </c>
      <c r="AA209" t="s">
        <v>1057</v>
      </c>
      <c r="AB209" s="146" t="s">
        <v>314</v>
      </c>
      <c r="AC209" t="s">
        <v>1122</v>
      </c>
      <c r="AD209" s="560">
        <v>7910</v>
      </c>
      <c r="AE209" t="s">
        <v>1127</v>
      </c>
    </row>
    <row r="210" spans="7:31" ht="15">
      <c r="G210">
        <f t="shared" si="14"/>
        <v>0</v>
      </c>
      <c r="H210">
        <f>IF('Autres sites'!B31="","",'Autres sites'!B31)</f>
      </c>
      <c r="I210">
        <f>IF('Autres sites'!C31="","",'Autres sites'!C31)</f>
      </c>
      <c r="J210" t="str">
        <f>IF('Autres sites'!D31="","",'Autres sites'!D31)</f>
        <v>Choisir…</v>
      </c>
      <c r="K210">
        <f>IF('Autres sites'!E31="","",'Autres sites'!E31)</f>
      </c>
      <c r="L210">
        <f>IF('Autres sites'!F31="","",'Autres sites'!F31)</f>
      </c>
      <c r="M210">
        <f>IF('Autres sites'!G31="","",'Autres sites'!G31)</f>
      </c>
      <c r="N210">
        <f>IF('Autres sites'!H31="","",'Autres sites'!H31)</f>
      </c>
      <c r="O210">
        <f>IF('Autres sites'!I31="","",'Autres sites'!I31)</f>
      </c>
      <c r="P210">
        <f>IF('Autres sites'!J31="","",'Autres sites'!J31)</f>
      </c>
      <c r="Q210">
        <f>IF('Autres sites'!K31="","",'Autres sites'!K31)</f>
      </c>
      <c r="R210" t="b">
        <f>IF('Autres sites'!L31="","",'Autres sites'!L31)</f>
        <v>0</v>
      </c>
      <c r="Z210" s="564">
        <v>604</v>
      </c>
      <c r="AA210" t="s">
        <v>391</v>
      </c>
      <c r="AB210" s="146" t="s">
        <v>314</v>
      </c>
      <c r="AC210" t="s">
        <v>1123</v>
      </c>
      <c r="AD210" s="560">
        <v>8060</v>
      </c>
      <c r="AE210" t="s">
        <v>1127</v>
      </c>
    </row>
    <row r="211" spans="7:31" ht="15">
      <c r="G211">
        <f t="shared" si="14"/>
        <v>0</v>
      </c>
      <c r="H211">
        <f>IF('Autres sites'!B32="","",'Autres sites'!B32)</f>
      </c>
      <c r="I211">
        <f>IF('Autres sites'!C32="","",'Autres sites'!C32)</f>
      </c>
      <c r="J211" t="str">
        <f>IF('Autres sites'!D32="","",'Autres sites'!D32)</f>
        <v>Choisir…</v>
      </c>
      <c r="K211">
        <f>IF('Autres sites'!E32="","",'Autres sites'!E32)</f>
      </c>
      <c r="L211">
        <f>IF('Autres sites'!F32="","",'Autres sites'!F32)</f>
      </c>
      <c r="M211">
        <f>IF('Autres sites'!G32="","",'Autres sites'!G32)</f>
      </c>
      <c r="N211">
        <f>IF('Autres sites'!H32="","",'Autres sites'!H32)</f>
      </c>
      <c r="O211">
        <f>IF('Autres sites'!I32="","",'Autres sites'!I32)</f>
      </c>
      <c r="P211">
        <f>IF('Autres sites'!J32="","",'Autres sites'!J32)</f>
      </c>
      <c r="Q211">
        <f>IF('Autres sites'!K32="","",'Autres sites'!K32)</f>
      </c>
      <c r="R211" t="b">
        <f>IF('Autres sites'!L32="","",'Autres sites'!L32)</f>
        <v>0</v>
      </c>
      <c r="Z211" s="564">
        <v>605</v>
      </c>
      <c r="AA211" t="s">
        <v>1058</v>
      </c>
      <c r="AB211" s="146" t="s">
        <v>314</v>
      </c>
      <c r="AC211" t="s">
        <v>1124</v>
      </c>
      <c r="AD211" s="560">
        <v>8550</v>
      </c>
      <c r="AE211" t="s">
        <v>1127</v>
      </c>
    </row>
    <row r="212" spans="7:31" ht="15">
      <c r="G212">
        <f t="shared" si="14"/>
        <v>0</v>
      </c>
      <c r="H212">
        <f>IF('Autres sites'!B33="","",'Autres sites'!B33)</f>
      </c>
      <c r="I212">
        <f>IF('Autres sites'!C33="","",'Autres sites'!C33)</f>
      </c>
      <c r="J212" t="str">
        <f>IF('Autres sites'!D33="","",'Autres sites'!D33)</f>
        <v>Choisir…</v>
      </c>
      <c r="K212">
        <f>IF('Autres sites'!E33="","",'Autres sites'!E33)</f>
      </c>
      <c r="L212">
        <f>IF('Autres sites'!F33="","",'Autres sites'!F33)</f>
      </c>
      <c r="M212">
        <f>IF('Autres sites'!G33="","",'Autres sites'!G33)</f>
      </c>
      <c r="N212">
        <f>IF('Autres sites'!H33="","",'Autres sites'!H33)</f>
      </c>
      <c r="O212">
        <f>IF('Autres sites'!I33="","",'Autres sites'!I33)</f>
      </c>
      <c r="P212">
        <f>IF('Autres sites'!J33="","",'Autres sites'!J33)</f>
      </c>
      <c r="Q212">
        <f>IF('Autres sites'!K33="","",'Autres sites'!K33)</f>
      </c>
      <c r="R212" t="b">
        <f>IF('Autres sites'!L33="","",'Autres sites'!L33)</f>
        <v>0</v>
      </c>
      <c r="Z212" s="564">
        <v>606</v>
      </c>
      <c r="AA212" t="s">
        <v>404</v>
      </c>
      <c r="AB212" s="146" t="s">
        <v>314</v>
      </c>
      <c r="AC212" t="s">
        <v>856</v>
      </c>
      <c r="AD212" s="560">
        <v>8590</v>
      </c>
      <c r="AE212" t="s">
        <v>1127</v>
      </c>
    </row>
    <row r="213" spans="7:31" ht="15">
      <c r="G213">
        <f t="shared" si="14"/>
        <v>0</v>
      </c>
      <c r="H213">
        <f>IF('Autres sites'!B34="","",'Autres sites'!B34)</f>
      </c>
      <c r="I213">
        <f>IF('Autres sites'!C34="","",'Autres sites'!C34)</f>
      </c>
      <c r="J213" t="str">
        <f>IF('Autres sites'!D34="","",'Autres sites'!D34)</f>
        <v>Choisir…</v>
      </c>
      <c r="K213">
        <f>IF('Autres sites'!E34="","",'Autres sites'!E34)</f>
      </c>
      <c r="L213">
        <f>IF('Autres sites'!F34="","",'Autres sites'!F34)</f>
      </c>
      <c r="M213">
        <f>IF('Autres sites'!G34="","",'Autres sites'!G34)</f>
      </c>
      <c r="N213">
        <f>IF('Autres sites'!H34="","",'Autres sites'!H34)</f>
      </c>
      <c r="O213">
        <f>IF('Autres sites'!I34="","",'Autres sites'!I34)</f>
      </c>
      <c r="P213">
        <f>IF('Autres sites'!J34="","",'Autres sites'!J34)</f>
      </c>
      <c r="Q213">
        <f>IF('Autres sites'!K34="","",'Autres sites'!K34)</f>
      </c>
      <c r="R213" t="b">
        <f>IF('Autres sites'!L34="","",'Autres sites'!L34)</f>
        <v>0</v>
      </c>
      <c r="Z213" s="564">
        <v>607</v>
      </c>
      <c r="AA213" t="s">
        <v>881</v>
      </c>
      <c r="AB213" s="146" t="s">
        <v>314</v>
      </c>
      <c r="AC213" t="s">
        <v>395</v>
      </c>
      <c r="AD213" s="560">
        <v>8900</v>
      </c>
      <c r="AE213" t="s">
        <v>1127</v>
      </c>
    </row>
    <row r="214" spans="7:31" ht="15">
      <c r="G214">
        <f t="shared" si="14"/>
        <v>0</v>
      </c>
      <c r="H214">
        <f>IF('Autres sites'!B35="","",'Autres sites'!B35)</f>
      </c>
      <c r="I214">
        <f>IF('Autres sites'!C35="","",'Autres sites'!C35)</f>
      </c>
      <c r="J214" t="str">
        <f>IF('Autres sites'!D35="","",'Autres sites'!D35)</f>
        <v>Choisir…</v>
      </c>
      <c r="K214">
        <f>IF('Autres sites'!E35="","",'Autres sites'!E35)</f>
      </c>
      <c r="L214">
        <f>IF('Autres sites'!F35="","",'Autres sites'!F35)</f>
      </c>
      <c r="M214">
        <f>IF('Autres sites'!G35="","",'Autres sites'!G35)</f>
      </c>
      <c r="N214">
        <f>IF('Autres sites'!H35="","",'Autres sites'!H35)</f>
      </c>
      <c r="O214">
        <f>IF('Autres sites'!I35="","",'Autres sites'!I35)</f>
      </c>
      <c r="P214">
        <f>IF('Autres sites'!J35="","",'Autres sites'!J35)</f>
      </c>
      <c r="Q214">
        <f>IF('Autres sites'!K35="","",'Autres sites'!K35)</f>
      </c>
      <c r="R214" t="b">
        <f>IF('Autres sites'!L35="","",'Autres sites'!L35)</f>
        <v>0</v>
      </c>
      <c r="Z214" s="564">
        <v>608</v>
      </c>
      <c r="AA214" t="s">
        <v>1059</v>
      </c>
      <c r="AB214" s="146" t="s">
        <v>314</v>
      </c>
      <c r="AC214" t="s">
        <v>396</v>
      </c>
      <c r="AD214" s="560">
        <v>9200</v>
      </c>
      <c r="AE214" t="s">
        <v>1127</v>
      </c>
    </row>
    <row r="215" spans="7:31" ht="15">
      <c r="G215">
        <f t="shared" si="14"/>
        <v>0</v>
      </c>
      <c r="H215">
        <f>IF('Autres sites'!B36="","",'Autres sites'!B36)</f>
      </c>
      <c r="I215">
        <f>IF('Autres sites'!C36="","",'Autres sites'!C36)</f>
      </c>
      <c r="J215" t="str">
        <f>IF('Autres sites'!D36="","",'Autres sites'!D36)</f>
        <v>Choisir…</v>
      </c>
      <c r="K215">
        <f>IF('Autres sites'!E36="","",'Autres sites'!E36)</f>
      </c>
      <c r="L215">
        <f>IF('Autres sites'!F36="","",'Autres sites'!F36)</f>
      </c>
      <c r="M215">
        <f>IF('Autres sites'!G36="","",'Autres sites'!G36)</f>
      </c>
      <c r="N215">
        <f>IF('Autres sites'!H36="","",'Autres sites'!H36)</f>
      </c>
      <c r="O215">
        <f>IF('Autres sites'!I36="","",'Autres sites'!I36)</f>
      </c>
      <c r="P215">
        <f>IF('Autres sites'!J36="","",'Autres sites'!J36)</f>
      </c>
      <c r="Q215">
        <f>IF('Autres sites'!K36="","",'Autres sites'!K36)</f>
      </c>
      <c r="R215" t="b">
        <f>IF('Autres sites'!L36="","",'Autres sites'!L36)</f>
        <v>0</v>
      </c>
      <c r="Z215" s="564">
        <v>609</v>
      </c>
      <c r="AA215" t="s">
        <v>882</v>
      </c>
      <c r="AB215" s="146" t="s">
        <v>314</v>
      </c>
      <c r="AC215" t="s">
        <v>883</v>
      </c>
      <c r="AD215" s="560">
        <v>9395</v>
      </c>
      <c r="AE215" t="s">
        <v>1130</v>
      </c>
    </row>
    <row r="216" spans="7:31" ht="15">
      <c r="G216">
        <f t="shared" si="14"/>
        <v>0</v>
      </c>
      <c r="H216">
        <f>IF('Autres sites'!B37="","",'Autres sites'!B37)</f>
      </c>
      <c r="I216">
        <f>IF('Autres sites'!C37="","",'Autres sites'!C37)</f>
      </c>
      <c r="J216" t="str">
        <f>IF('Autres sites'!D37="","",'Autres sites'!D37)</f>
        <v>Choisir…</v>
      </c>
      <c r="K216">
        <f>IF('Autres sites'!E37="","",'Autres sites'!E37)</f>
      </c>
      <c r="L216">
        <f>IF('Autres sites'!F37="","",'Autres sites'!F37)</f>
      </c>
      <c r="M216">
        <f>IF('Autres sites'!G37="","",'Autres sites'!G37)</f>
      </c>
      <c r="N216">
        <f>IF('Autres sites'!H37="","",'Autres sites'!H37)</f>
      </c>
      <c r="O216">
        <f>IF('Autres sites'!I37="","",'Autres sites'!I37)</f>
      </c>
      <c r="P216">
        <f>IF('Autres sites'!J37="","",'Autres sites'!J37)</f>
      </c>
      <c r="Q216">
        <f>IF('Autres sites'!K37="","",'Autres sites'!K37)</f>
      </c>
      <c r="R216" t="b">
        <f>IF('Autres sites'!L37="","",'Autres sites'!L37)</f>
        <v>0</v>
      </c>
      <c r="Z216" s="564">
        <v>610</v>
      </c>
      <c r="AA216" t="s">
        <v>877</v>
      </c>
      <c r="AB216" s="146" t="s">
        <v>314</v>
      </c>
      <c r="AC216" t="s">
        <v>397</v>
      </c>
      <c r="AD216" s="560">
        <v>9540</v>
      </c>
      <c r="AE216" t="s">
        <v>1127</v>
      </c>
    </row>
    <row r="217" spans="7:31" ht="15">
      <c r="G217">
        <f t="shared" si="14"/>
        <v>0</v>
      </c>
      <c r="H217">
        <f>IF('Autres sites'!B38="","",'Autres sites'!B38)</f>
      </c>
      <c r="I217">
        <f>IF('Autres sites'!C38="","",'Autres sites'!C38)</f>
      </c>
      <c r="J217" t="str">
        <f>IF('Autres sites'!D38="","",'Autres sites'!D38)</f>
        <v>Choisir…</v>
      </c>
      <c r="K217">
        <f>IF('Autres sites'!E38="","",'Autres sites'!E38)</f>
      </c>
      <c r="L217">
        <f>IF('Autres sites'!F38="","",'Autres sites'!F38)</f>
      </c>
      <c r="M217">
        <f>IF('Autres sites'!G38="","",'Autres sites'!G38)</f>
      </c>
      <c r="N217">
        <f>IF('Autres sites'!H38="","",'Autres sites'!H38)</f>
      </c>
      <c r="O217">
        <f>IF('Autres sites'!I38="","",'Autres sites'!I38)</f>
      </c>
      <c r="P217">
        <f>IF('Autres sites'!J38="","",'Autres sites'!J38)</f>
      </c>
      <c r="Q217">
        <f>IF('Autres sites'!K38="","",'Autres sites'!K38)</f>
      </c>
      <c r="R217" t="b">
        <f>IF('Autres sites'!L38="","",'Autres sites'!L38)</f>
        <v>0</v>
      </c>
      <c r="Z217" s="564">
        <v>611</v>
      </c>
      <c r="AA217" t="s">
        <v>1060</v>
      </c>
      <c r="AB217" s="146" t="s">
        <v>314</v>
      </c>
      <c r="AC217" t="s">
        <v>1125</v>
      </c>
      <c r="AD217" s="560">
        <v>9710</v>
      </c>
      <c r="AE217" t="s">
        <v>1127</v>
      </c>
    </row>
    <row r="218" spans="7:31" ht="15">
      <c r="G218">
        <f t="shared" si="14"/>
        <v>0</v>
      </c>
      <c r="H218">
        <f>IF('Autres sites'!B39="","",'Autres sites'!B39)</f>
      </c>
      <c r="I218">
        <f>IF('Autres sites'!C39="","",'Autres sites'!C39)</f>
      </c>
      <c r="J218" t="str">
        <f>IF('Autres sites'!D39="","",'Autres sites'!D39)</f>
        <v>Choisir…</v>
      </c>
      <c r="K218">
        <f>IF('Autres sites'!E39="","",'Autres sites'!E39)</f>
      </c>
      <c r="L218">
        <f>IF('Autres sites'!F39="","",'Autres sites'!F39)</f>
      </c>
      <c r="M218">
        <f>IF('Autres sites'!G39="","",'Autres sites'!G39)</f>
      </c>
      <c r="N218">
        <f>IF('Autres sites'!H39="","",'Autres sites'!H39)</f>
      </c>
      <c r="O218">
        <f>IF('Autres sites'!I39="","",'Autres sites'!I39)</f>
      </c>
      <c r="P218">
        <f>IF('Autres sites'!J39="","",'Autres sites'!J39)</f>
      </c>
      <c r="Q218">
        <f>IF('Autres sites'!K39="","",'Autres sites'!K39)</f>
      </c>
      <c r="R218" t="b">
        <f>IF('Autres sites'!L39="","",'Autres sites'!L39)</f>
        <v>0</v>
      </c>
      <c r="Z218" s="564">
        <v>612</v>
      </c>
      <c r="AA218" t="s">
        <v>401</v>
      </c>
      <c r="AB218" s="146" t="s">
        <v>314</v>
      </c>
      <c r="AC218" t="s">
        <v>858</v>
      </c>
      <c r="AD218" s="560">
        <v>10200</v>
      </c>
      <c r="AE218" t="s">
        <v>1127</v>
      </c>
    </row>
    <row r="219" spans="7:31" ht="15">
      <c r="G219">
        <f t="shared" si="14"/>
        <v>0</v>
      </c>
      <c r="H219">
        <f>IF('Autres sites'!B40="","",'Autres sites'!B40)</f>
      </c>
      <c r="I219">
        <f>IF('Autres sites'!C40="","",'Autres sites'!C40)</f>
      </c>
      <c r="J219" t="str">
        <f>IF('Autres sites'!D40="","",'Autres sites'!D40)</f>
        <v>Choisir…</v>
      </c>
      <c r="K219">
        <f>IF('Autres sites'!E40="","",'Autres sites'!E40)</f>
      </c>
      <c r="L219">
        <f>IF('Autres sites'!F40="","",'Autres sites'!F40)</f>
      </c>
      <c r="M219">
        <f>IF('Autres sites'!G40="","",'Autres sites'!G40)</f>
      </c>
      <c r="N219">
        <f>IF('Autres sites'!H40="","",'Autres sites'!H40)</f>
      </c>
      <c r="O219">
        <f>IF('Autres sites'!I40="","",'Autres sites'!I40)</f>
      </c>
      <c r="P219">
        <f>IF('Autres sites'!J40="","",'Autres sites'!J40)</f>
      </c>
      <c r="Q219">
        <f>IF('Autres sites'!K40="","",'Autres sites'!K40)</f>
      </c>
      <c r="R219" t="b">
        <f>IF('Autres sites'!L40="","",'Autres sites'!L40)</f>
        <v>0</v>
      </c>
      <c r="Z219" s="564">
        <v>613</v>
      </c>
      <c r="AA219" t="s">
        <v>878</v>
      </c>
      <c r="AB219" s="146" t="s">
        <v>314</v>
      </c>
      <c r="AC219" t="s">
        <v>394</v>
      </c>
      <c r="AD219" s="560">
        <v>11100</v>
      </c>
      <c r="AE219" t="s">
        <v>1127</v>
      </c>
    </row>
    <row r="220" spans="7:31" ht="15">
      <c r="G220">
        <f t="shared" si="14"/>
        <v>0</v>
      </c>
      <c r="H220">
        <f>IF('Autres sites'!B41="","",'Autres sites'!B41)</f>
      </c>
      <c r="I220">
        <f>IF('Autres sites'!C41="","",'Autres sites'!C41)</f>
      </c>
      <c r="J220" t="str">
        <f>IF('Autres sites'!D41="","",'Autres sites'!D41)</f>
        <v>Choisir…</v>
      </c>
      <c r="K220">
        <f>IF('Autres sites'!E41="","",'Autres sites'!E41)</f>
      </c>
      <c r="L220">
        <f>IF('Autres sites'!F41="","",'Autres sites'!F41)</f>
      </c>
      <c r="M220">
        <f>IF('Autres sites'!G41="","",'Autres sites'!G41)</f>
      </c>
      <c r="N220">
        <f>IF('Autres sites'!H41="","",'Autres sites'!H41)</f>
      </c>
      <c r="O220">
        <f>IF('Autres sites'!I41="","",'Autres sites'!I41)</f>
      </c>
      <c r="P220">
        <f>IF('Autres sites'!J41="","",'Autres sites'!J41)</f>
      </c>
      <c r="Q220">
        <f>IF('Autres sites'!K41="","",'Autres sites'!K41)</f>
      </c>
      <c r="R220" t="b">
        <f>IF('Autres sites'!L41="","",'Autres sites'!L41)</f>
        <v>0</v>
      </c>
      <c r="Z220" s="564">
        <v>614</v>
      </c>
      <c r="AA220" t="s">
        <v>441</v>
      </c>
      <c r="AB220" s="146" t="s">
        <v>314</v>
      </c>
      <c r="AC220" t="s">
        <v>55</v>
      </c>
      <c r="AD220" s="560">
        <v>11607</v>
      </c>
      <c r="AE220" t="s">
        <v>1130</v>
      </c>
    </row>
    <row r="221" spans="7:31" ht="15">
      <c r="G221">
        <f t="shared" si="14"/>
        <v>0</v>
      </c>
      <c r="H221">
        <f>IF('Autres sites'!B42="","",'Autres sites'!B42)</f>
      </c>
      <c r="I221">
        <f>IF('Autres sites'!C42="","",'Autres sites'!C42)</f>
      </c>
      <c r="J221" t="str">
        <f>IF('Autres sites'!D42="","",'Autres sites'!D42)</f>
        <v>Choisir…</v>
      </c>
      <c r="K221">
        <f>IF('Autres sites'!E42="","",'Autres sites'!E42)</f>
      </c>
      <c r="L221">
        <f>IF('Autres sites'!F42="","",'Autres sites'!F42)</f>
      </c>
      <c r="M221">
        <f>IF('Autres sites'!G42="","",'Autres sites'!G42)</f>
      </c>
      <c r="N221">
        <f>IF('Autres sites'!H42="","",'Autres sites'!H42)</f>
      </c>
      <c r="O221">
        <f>IF('Autres sites'!I42="","",'Autres sites'!I42)</f>
      </c>
      <c r="P221">
        <f>IF('Autres sites'!J42="","",'Autres sites'!J42)</f>
      </c>
      <c r="Q221">
        <f>IF('Autres sites'!K42="","",'Autres sites'!K42)</f>
      </c>
      <c r="R221" t="b">
        <f>IF('Autres sites'!L42="","",'Autres sites'!L42)</f>
        <v>0</v>
      </c>
      <c r="Z221" s="564">
        <v>615</v>
      </c>
      <c r="AA221" t="s">
        <v>442</v>
      </c>
      <c r="AB221" s="146" t="s">
        <v>314</v>
      </c>
      <c r="AC221" t="s">
        <v>56</v>
      </c>
      <c r="AD221" s="560">
        <v>11698</v>
      </c>
      <c r="AE221" t="s">
        <v>1130</v>
      </c>
    </row>
    <row r="222" spans="7:31" ht="15">
      <c r="G222">
        <f t="shared" si="14"/>
        <v>0</v>
      </c>
      <c r="H222">
        <f>IF('Autres sites'!B43="","",'Autres sites'!B43)</f>
      </c>
      <c r="I222">
        <f>IF('Autres sites'!C43="","",'Autres sites'!C43)</f>
      </c>
      <c r="J222" t="str">
        <f>IF('Autres sites'!D43="","",'Autres sites'!D43)</f>
        <v>Choisir…</v>
      </c>
      <c r="K222">
        <f>IF('Autres sites'!E43="","",'Autres sites'!E43)</f>
      </c>
      <c r="L222">
        <f>IF('Autres sites'!F43="","",'Autres sites'!F43)</f>
      </c>
      <c r="M222">
        <f>IF('Autres sites'!G43="","",'Autres sites'!G43)</f>
      </c>
      <c r="N222">
        <f>IF('Autres sites'!H43="","",'Autres sites'!H43)</f>
      </c>
      <c r="O222">
        <f>IF('Autres sites'!I43="","",'Autres sites'!I43)</f>
      </c>
      <c r="P222">
        <f>IF('Autres sites'!J43="","",'Autres sites'!J43)</f>
      </c>
      <c r="Q222">
        <f>IF('Autres sites'!K43="","",'Autres sites'!K43)</f>
      </c>
      <c r="R222" t="b">
        <f>IF('Autres sites'!L43="","",'Autres sites'!L43)</f>
        <v>0</v>
      </c>
      <c r="Z222" s="564">
        <v>616</v>
      </c>
      <c r="AA222" t="s">
        <v>374</v>
      </c>
      <c r="AB222" s="146" t="s">
        <v>314</v>
      </c>
      <c r="AC222" t="s">
        <v>377</v>
      </c>
      <c r="AD222" s="560">
        <v>12400</v>
      </c>
      <c r="AE222" t="s">
        <v>1127</v>
      </c>
    </row>
    <row r="223" spans="26:41" ht="15">
      <c r="Z223" s="564">
        <v>617</v>
      </c>
      <c r="AA223" t="s">
        <v>1061</v>
      </c>
      <c r="AB223" s="146" t="s">
        <v>314</v>
      </c>
      <c r="AC223" t="s">
        <v>1126</v>
      </c>
      <c r="AD223" s="560">
        <v>12400</v>
      </c>
      <c r="AE223" t="s">
        <v>1127</v>
      </c>
      <c r="AH223">
        <v>38.68</v>
      </c>
      <c r="AI223" s="249">
        <v>2789.793</v>
      </c>
      <c r="AO223">
        <v>5</v>
      </c>
    </row>
    <row r="224" spans="26:41" ht="15">
      <c r="Z224" s="564">
        <v>618</v>
      </c>
      <c r="AA224" t="s">
        <v>439</v>
      </c>
      <c r="AB224" s="146" t="s">
        <v>314</v>
      </c>
      <c r="AC224" t="s">
        <v>53</v>
      </c>
      <c r="AD224" s="560">
        <v>13298.5</v>
      </c>
      <c r="AE224" t="s">
        <v>1130</v>
      </c>
      <c r="AI224" s="419"/>
      <c r="AO224" s="322">
        <v>0.25</v>
      </c>
    </row>
    <row r="225" spans="26:41" ht="15">
      <c r="Z225" s="564">
        <v>619</v>
      </c>
      <c r="AA225" t="s">
        <v>402</v>
      </c>
      <c r="AB225" s="146" t="s">
        <v>314</v>
      </c>
      <c r="AC225" t="s">
        <v>859</v>
      </c>
      <c r="AD225" s="560">
        <v>13900</v>
      </c>
      <c r="AE225" t="s">
        <v>1127</v>
      </c>
      <c r="AI225" s="419"/>
      <c r="AO225" s="322">
        <v>0.1</v>
      </c>
    </row>
    <row r="226" spans="26:42" ht="15">
      <c r="Z226" s="564">
        <v>620</v>
      </c>
      <c r="AA226" t="s">
        <v>60</v>
      </c>
      <c r="AB226" s="146" t="s">
        <v>314</v>
      </c>
      <c r="AC226" t="s">
        <v>61</v>
      </c>
      <c r="AD226" s="560">
        <v>16100</v>
      </c>
      <c r="AE226" t="s">
        <v>1127</v>
      </c>
      <c r="AI226" s="419"/>
      <c r="AL226">
        <v>36403</v>
      </c>
      <c r="AM226" t="s">
        <v>376</v>
      </c>
      <c r="AO226" s="322">
        <v>0.55</v>
      </c>
      <c r="AP226" t="s">
        <v>375</v>
      </c>
    </row>
    <row r="227" spans="26:35" ht="15">
      <c r="Z227" s="564">
        <v>621</v>
      </c>
      <c r="AA227" t="s">
        <v>398</v>
      </c>
      <c r="AB227" s="146" t="s">
        <v>314</v>
      </c>
      <c r="AC227" t="s">
        <v>399</v>
      </c>
      <c r="AD227" s="560">
        <v>23500</v>
      </c>
      <c r="AE227" t="s">
        <v>1127</v>
      </c>
      <c r="AI227" s="419"/>
    </row>
    <row r="228" spans="28:35" ht="12.75">
      <c r="AB228" s="146"/>
      <c r="AD228" s="560"/>
      <c r="AI228" s="419"/>
    </row>
    <row r="229" spans="28:35" ht="12.75">
      <c r="AB229" s="146"/>
      <c r="AD229" s="560"/>
      <c r="AI229" s="419"/>
    </row>
    <row r="230" spans="28:35" ht="12.75">
      <c r="AB230" s="146"/>
      <c r="AD230" s="560"/>
      <c r="AI230" s="419"/>
    </row>
    <row r="231" spans="28:47" ht="26.25" customHeight="1">
      <c r="AB231" s="146"/>
      <c r="AD231" s="560"/>
      <c r="AU231" s="308"/>
    </row>
    <row r="232" spans="28:30" ht="12.75">
      <c r="AB232" s="146"/>
      <c r="AD232" s="560"/>
    </row>
    <row r="233" spans="28:30" ht="12.75">
      <c r="AB233" s="146"/>
      <c r="AD233" s="560"/>
    </row>
    <row r="234" spans="28:30" ht="12.75">
      <c r="AB234" s="146"/>
      <c r="AD234" s="560"/>
    </row>
    <row r="255" spans="1:8" ht="12.75">
      <c r="A255" t="s">
        <v>358</v>
      </c>
      <c r="B255" t="s">
        <v>812</v>
      </c>
      <c r="C255" t="s">
        <v>789</v>
      </c>
      <c r="D255" t="s">
        <v>790</v>
      </c>
      <c r="E255" t="s">
        <v>791</v>
      </c>
      <c r="F255" t="s">
        <v>635</v>
      </c>
      <c r="G255" t="s">
        <v>636</v>
      </c>
      <c r="H255" t="s">
        <v>637</v>
      </c>
    </row>
    <row r="256" spans="1:8" ht="12.75">
      <c r="A256">
        <f aca="true" t="shared" si="15" ref="A256:A261">DQ$2</f>
        <v>0</v>
      </c>
      <c r="B256" t="str">
        <f>'1. Demande'!D166</f>
        <v>A. Acquisition équipement/matériel</v>
      </c>
      <c r="C256" s="359">
        <f>'1. Demande'!R166</f>
        <v>0</v>
      </c>
      <c r="D256" s="359">
        <f>'1. Demande'!V166</f>
        <v>0</v>
      </c>
      <c r="E256" s="359">
        <f>'1. Demande'!AA166</f>
        <v>0</v>
      </c>
      <c r="F256" s="359">
        <f>'1. Demande'!AE166</f>
        <v>0</v>
      </c>
      <c r="G256" s="359">
        <f>'1. Demande'!AJ166</f>
        <v>0</v>
      </c>
      <c r="H256" s="359">
        <f>'1. Demande'!AN166</f>
        <v>0</v>
      </c>
    </row>
    <row r="257" spans="1:8" ht="12.75">
      <c r="A257">
        <f t="shared" si="15"/>
        <v>0</v>
      </c>
      <c r="B257" t="str">
        <f>'1. Demande'!D167</f>
        <v>B. Acquisition de l'équipement de mesurage</v>
      </c>
      <c r="C257" s="359">
        <f>'1. Demande'!R167</f>
        <v>0</v>
      </c>
      <c r="D257" s="359">
        <f>'1. Demande'!V167</f>
        <v>0</v>
      </c>
      <c r="E257" s="359">
        <f>'1. Demande'!AA167</f>
        <v>0</v>
      </c>
      <c r="F257" s="359">
        <f>'1. Demande'!AE167</f>
        <v>0</v>
      </c>
      <c r="G257" s="359">
        <f>'1. Demande'!AJ167</f>
        <v>0</v>
      </c>
      <c r="H257" s="359">
        <f>'1. Demande'!AN167</f>
        <v>0</v>
      </c>
    </row>
    <row r="258" spans="1:8" ht="12.75">
      <c r="A258">
        <f t="shared" si="15"/>
        <v>0</v>
      </c>
      <c r="B258" t="str">
        <f>'1. Demande'!D168</f>
        <v>C. Mesurage, quantification et vérification</v>
      </c>
      <c r="C258" s="359">
        <f>'1. Demande'!R168</f>
        <v>0</v>
      </c>
      <c r="D258" s="359">
        <f>'1. Demande'!V168</f>
        <v>0</v>
      </c>
      <c r="E258" s="359">
        <f>'1. Demande'!AA168</f>
        <v>0</v>
      </c>
      <c r="F258" s="359">
        <f>'1. Demande'!AE168</f>
        <v>0</v>
      </c>
      <c r="G258" s="359">
        <f>'1. Demande'!AJ168</f>
        <v>0</v>
      </c>
      <c r="H258" s="359">
        <f>'1. Demande'!AN168</f>
        <v>0</v>
      </c>
    </row>
    <row r="259" spans="1:8" ht="12.75">
      <c r="A259">
        <f t="shared" si="15"/>
        <v>0</v>
      </c>
      <c r="B259" t="str">
        <f>'1. Demande'!D169</f>
        <v>D. Ingénierie ou services professionnels</v>
      </c>
      <c r="C259" s="359">
        <f>'1. Demande'!R169</f>
        <v>0</v>
      </c>
      <c r="D259" s="359">
        <f>'1. Demande'!V169</f>
        <v>0</v>
      </c>
      <c r="E259" s="359">
        <f>'1. Demande'!AA169</f>
        <v>0</v>
      </c>
      <c r="F259" s="359">
        <f>'1. Demande'!AE169</f>
        <v>0</v>
      </c>
      <c r="G259" s="359">
        <f>'1. Demande'!AJ169</f>
        <v>0</v>
      </c>
      <c r="H259" s="359">
        <f>'1. Demande'!AN169</f>
        <v>0</v>
      </c>
    </row>
    <row r="260" spans="1:8" ht="12.75">
      <c r="A260">
        <f t="shared" si="15"/>
        <v>0</v>
      </c>
      <c r="B260" t="str">
        <f>'1. Demande'!D170</f>
        <v>E. Installation et mise en fonction</v>
      </c>
      <c r="C260" s="359">
        <f>'1. Demande'!R170</f>
        <v>0</v>
      </c>
      <c r="D260" s="359">
        <f>'1. Demande'!V170</f>
        <v>0</v>
      </c>
      <c r="E260" s="359">
        <f>'1. Demande'!AA170</f>
        <v>0</v>
      </c>
      <c r="F260" s="359">
        <f>'1. Demande'!AE170</f>
        <v>0</v>
      </c>
      <c r="G260" s="359">
        <f>'1. Demande'!AJ170</f>
        <v>0</v>
      </c>
      <c r="H260" s="359">
        <f>'1. Demande'!AN170</f>
        <v>0</v>
      </c>
    </row>
    <row r="261" spans="1:8" ht="12.75">
      <c r="A261">
        <f t="shared" si="15"/>
        <v>0</v>
      </c>
      <c r="B261" t="str">
        <f>'1. Demande'!D171</f>
        <v>F. Contingences</v>
      </c>
      <c r="C261" s="359">
        <f>'1. Demande'!R171</f>
        <v>0</v>
      </c>
      <c r="D261" s="359">
        <f>'1. Demande'!V171</f>
        <v>0</v>
      </c>
      <c r="E261" s="359">
        <f>'1. Demande'!AA171</f>
        <v>0</v>
      </c>
      <c r="F261" s="359">
        <f>'1. Demande'!AE171</f>
        <v>0</v>
      </c>
      <c r="G261" s="359">
        <f>'1. Demande'!AJ171</f>
        <v>0</v>
      </c>
      <c r="H261" s="359">
        <f>'1. Demande'!AN171</f>
        <v>0</v>
      </c>
    </row>
  </sheetData>
  <sheetProtection password="E71A" sheet="1" objects="1" scenarios="1"/>
  <autoFilter ref="Z74:AE187">
    <sortState ref="Z75:AE261">
      <sortCondition sortBy="value" ref="Z75:Z261"/>
    </sortState>
  </autoFilter>
  <mergeCells count="2">
    <mergeCell ref="B62:C62"/>
    <mergeCell ref="D62:E62"/>
  </mergeCells>
  <printOptions/>
  <pageMargins left="0.17" right="0.19" top="0.984251969" bottom="0.984251969" header="0.4921259845" footer="0.492125984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Feuil8">
    <tabColor rgb="FFFF0000"/>
    <pageSetUpPr fitToPage="1"/>
  </sheetPr>
  <dimension ref="B1:AC101"/>
  <sheetViews>
    <sheetView showGridLines="0" showRowColHeaders="0" tabSelected="1" zoomScale="115" zoomScaleNormal="115" workbookViewId="0" topLeftCell="A1">
      <selection activeCell="B1" sqref="B1:J1"/>
    </sheetView>
  </sheetViews>
  <sheetFormatPr defaultColWidth="11.421875" defaultRowHeight="12.75"/>
  <cols>
    <col min="1" max="1" width="2.28125" style="492" customWidth="1"/>
    <col min="2" max="10" width="11.421875" style="492" customWidth="1"/>
    <col min="11" max="11" width="2.28125" style="492" customWidth="1"/>
    <col min="12" max="12" width="11.421875" style="492" customWidth="1"/>
    <col min="13" max="13" width="7.8515625" style="492" customWidth="1"/>
    <col min="14" max="14" width="11.421875" style="492" customWidth="1"/>
    <col min="15" max="16384" width="11.421875" style="492" customWidth="1"/>
  </cols>
  <sheetData>
    <row r="1" spans="2:10" s="491" customFormat="1" ht="78" customHeight="1" thickBot="1">
      <c r="B1" s="572"/>
      <c r="C1" s="572"/>
      <c r="D1" s="572"/>
      <c r="E1" s="572"/>
      <c r="F1" s="572"/>
      <c r="G1" s="572"/>
      <c r="H1" s="572"/>
      <c r="I1" s="572"/>
      <c r="J1" s="572"/>
    </row>
    <row r="2" spans="2:13" s="496" customFormat="1" ht="19.5" customHeight="1">
      <c r="B2" s="555" t="s">
        <v>1000</v>
      </c>
      <c r="C2" s="493"/>
      <c r="D2" s="493"/>
      <c r="E2" s="493"/>
      <c r="F2" s="493"/>
      <c r="G2" s="493"/>
      <c r="H2" s="493"/>
      <c r="I2" s="493"/>
      <c r="J2" s="494"/>
      <c r="K2" s="495"/>
      <c r="L2" s="495"/>
      <c r="M2" s="495"/>
    </row>
    <row r="3" spans="2:29" ht="9.75" customHeight="1">
      <c r="B3" s="531"/>
      <c r="C3" s="532"/>
      <c r="D3" s="532"/>
      <c r="E3" s="532"/>
      <c r="F3" s="532"/>
      <c r="G3" s="532"/>
      <c r="H3" s="532"/>
      <c r="I3" s="532"/>
      <c r="J3" s="533"/>
      <c r="K3" s="532"/>
      <c r="L3" s="532"/>
      <c r="M3" s="532"/>
      <c r="R3" s="497"/>
      <c r="S3" s="498"/>
      <c r="T3" s="498"/>
      <c r="U3" s="498"/>
      <c r="V3" s="498"/>
      <c r="W3" s="498"/>
      <c r="X3" s="498"/>
      <c r="Y3" s="498"/>
      <c r="Z3" s="498"/>
      <c r="AA3" s="498"/>
      <c r="AB3" s="498"/>
      <c r="AC3" s="498"/>
    </row>
    <row r="4" spans="2:29" ht="24" customHeight="1">
      <c r="B4" s="566" t="s">
        <v>1001</v>
      </c>
      <c r="C4" s="567"/>
      <c r="D4" s="567"/>
      <c r="E4" s="567"/>
      <c r="F4" s="567"/>
      <c r="G4" s="567"/>
      <c r="H4" s="567"/>
      <c r="I4" s="567"/>
      <c r="J4" s="568"/>
      <c r="K4" s="532"/>
      <c r="L4" s="532"/>
      <c r="M4" s="532"/>
      <c r="R4" s="497"/>
      <c r="S4" s="499"/>
      <c r="T4" s="499"/>
      <c r="U4" s="499"/>
      <c r="V4" s="499"/>
      <c r="W4" s="499"/>
      <c r="X4" s="499"/>
      <c r="Y4" s="499"/>
      <c r="Z4" s="499"/>
      <c r="AA4" s="499"/>
      <c r="AB4" s="499"/>
      <c r="AC4" s="498"/>
    </row>
    <row r="5" spans="2:29" ht="9.75" customHeight="1">
      <c r="B5" s="531"/>
      <c r="C5" s="532"/>
      <c r="D5" s="532"/>
      <c r="E5" s="532"/>
      <c r="F5" s="532"/>
      <c r="G5" s="532"/>
      <c r="H5" s="532"/>
      <c r="I5" s="532"/>
      <c r="J5" s="533"/>
      <c r="K5" s="532"/>
      <c r="L5" s="532"/>
      <c r="M5" s="532"/>
      <c r="R5" s="497"/>
      <c r="S5" s="499"/>
      <c r="T5" s="499"/>
      <c r="U5" s="499"/>
      <c r="V5" s="499"/>
      <c r="W5" s="499"/>
      <c r="X5" s="499"/>
      <c r="Y5" s="499"/>
      <c r="Z5" s="499"/>
      <c r="AA5" s="499"/>
      <c r="AB5" s="499"/>
      <c r="AC5" s="498"/>
    </row>
    <row r="6" spans="2:29" ht="18" customHeight="1">
      <c r="B6" s="569" t="s">
        <v>1132</v>
      </c>
      <c r="C6" s="570"/>
      <c r="D6" s="570"/>
      <c r="E6" s="570"/>
      <c r="F6" s="570"/>
      <c r="G6" s="570"/>
      <c r="H6" s="570"/>
      <c r="I6" s="570"/>
      <c r="J6" s="571"/>
      <c r="K6" s="500"/>
      <c r="L6" s="500"/>
      <c r="M6" s="500"/>
      <c r="R6" s="498"/>
      <c r="S6" s="498"/>
      <c r="T6" s="498"/>
      <c r="U6" s="498"/>
      <c r="V6" s="498"/>
      <c r="W6" s="498"/>
      <c r="X6" s="498"/>
      <c r="Y6" s="498"/>
      <c r="Z6" s="498"/>
      <c r="AA6" s="498"/>
      <c r="AB6" s="498"/>
      <c r="AC6" s="498"/>
    </row>
    <row r="7" spans="2:29" ht="9.75" customHeight="1">
      <c r="B7" s="576"/>
      <c r="C7" s="577"/>
      <c r="D7" s="577"/>
      <c r="E7" s="577"/>
      <c r="F7" s="577"/>
      <c r="G7" s="577"/>
      <c r="H7" s="577"/>
      <c r="I7" s="577"/>
      <c r="J7" s="578"/>
      <c r="K7" s="556"/>
      <c r="L7" s="556"/>
      <c r="M7" s="556"/>
      <c r="R7" s="498"/>
      <c r="S7" s="498"/>
      <c r="T7" s="498"/>
      <c r="U7" s="498"/>
      <c r="V7" s="498"/>
      <c r="W7" s="498"/>
      <c r="X7" s="498"/>
      <c r="Y7" s="498"/>
      <c r="Z7" s="498"/>
      <c r="AA7" s="498"/>
      <c r="AB7" s="498"/>
      <c r="AC7" s="498"/>
    </row>
    <row r="8" spans="2:29" ht="15.75" customHeight="1">
      <c r="B8" s="579"/>
      <c r="C8" s="572"/>
      <c r="D8" s="572"/>
      <c r="E8" s="572"/>
      <c r="F8" s="572"/>
      <c r="G8" s="572"/>
      <c r="H8" s="572"/>
      <c r="I8" s="572"/>
      <c r="J8" s="580"/>
      <c r="K8" s="556"/>
      <c r="L8" s="556"/>
      <c r="M8" s="556"/>
      <c r="R8" s="498"/>
      <c r="S8" s="498"/>
      <c r="T8" s="498"/>
      <c r="U8" s="498"/>
      <c r="V8" s="498"/>
      <c r="W8" s="498"/>
      <c r="X8" s="498"/>
      <c r="Y8" s="498"/>
      <c r="Z8" s="498"/>
      <c r="AA8" s="498"/>
      <c r="AB8" s="498"/>
      <c r="AC8" s="498"/>
    </row>
    <row r="9" spans="2:29" s="562" customFormat="1" ht="6" customHeight="1">
      <c r="B9" s="585"/>
      <c r="C9" s="586"/>
      <c r="D9" s="586"/>
      <c r="E9" s="586"/>
      <c r="F9" s="586"/>
      <c r="G9" s="586"/>
      <c r="H9" s="586"/>
      <c r="I9" s="586"/>
      <c r="J9" s="587"/>
      <c r="K9" s="561"/>
      <c r="L9" s="561"/>
      <c r="M9" s="561"/>
      <c r="R9" s="563"/>
      <c r="S9" s="563"/>
      <c r="T9" s="563"/>
      <c r="U9" s="563"/>
      <c r="V9" s="563"/>
      <c r="W9" s="563"/>
      <c r="X9" s="563"/>
      <c r="Y9" s="563"/>
      <c r="Z9" s="563"/>
      <c r="AA9" s="563"/>
      <c r="AB9" s="563"/>
      <c r="AC9" s="563"/>
    </row>
    <row r="10" spans="2:29" ht="15.75" customHeight="1">
      <c r="B10" s="584" t="s">
        <v>1139</v>
      </c>
      <c r="C10" s="572"/>
      <c r="D10" s="572"/>
      <c r="E10" s="572"/>
      <c r="F10" s="572"/>
      <c r="G10" s="572"/>
      <c r="H10" s="572"/>
      <c r="I10" s="572"/>
      <c r="J10" s="580"/>
      <c r="K10" s="556"/>
      <c r="L10" s="556"/>
      <c r="M10" s="556"/>
      <c r="R10" s="498"/>
      <c r="S10" s="498"/>
      <c r="T10" s="498"/>
      <c r="U10" s="498"/>
      <c r="V10" s="498"/>
      <c r="W10" s="498"/>
      <c r="X10" s="498"/>
      <c r="Y10" s="498"/>
      <c r="Z10" s="498"/>
      <c r="AA10" s="498"/>
      <c r="AB10" s="498"/>
      <c r="AC10" s="498"/>
    </row>
    <row r="11" spans="2:29" ht="15.75" customHeight="1">
      <c r="B11" s="584" t="s">
        <v>1140</v>
      </c>
      <c r="C11" s="572"/>
      <c r="D11" s="572"/>
      <c r="E11" s="572"/>
      <c r="F11" s="572"/>
      <c r="G11" s="572"/>
      <c r="H11" s="572"/>
      <c r="I11" s="572"/>
      <c r="J11" s="580"/>
      <c r="K11" s="556"/>
      <c r="L11" s="556"/>
      <c r="M11" s="556"/>
      <c r="R11" s="498"/>
      <c r="S11" s="498"/>
      <c r="T11" s="498"/>
      <c r="U11" s="498"/>
      <c r="V11" s="498"/>
      <c r="W11" s="498"/>
      <c r="X11" s="498"/>
      <c r="Y11" s="498"/>
      <c r="Z11" s="498"/>
      <c r="AA11" s="498"/>
      <c r="AB11" s="498"/>
      <c r="AC11" s="498"/>
    </row>
    <row r="12" spans="2:29" ht="225" customHeight="1">
      <c r="B12" s="557"/>
      <c r="C12" s="556"/>
      <c r="D12" s="556"/>
      <c r="E12" s="556"/>
      <c r="F12" s="556"/>
      <c r="G12" s="556"/>
      <c r="H12" s="556"/>
      <c r="I12" s="556"/>
      <c r="J12" s="558"/>
      <c r="K12" s="556"/>
      <c r="L12" s="556"/>
      <c r="M12" s="556"/>
      <c r="R12" s="498"/>
      <c r="S12" s="498"/>
      <c r="T12" s="498"/>
      <c r="U12" s="498"/>
      <c r="V12" s="498"/>
      <c r="W12" s="498"/>
      <c r="X12" s="498"/>
      <c r="Y12" s="498"/>
      <c r="Z12" s="498"/>
      <c r="AA12" s="498"/>
      <c r="AB12" s="498"/>
      <c r="AC12" s="498"/>
    </row>
    <row r="13" spans="2:29" ht="15.75" customHeight="1">
      <c r="B13" s="584" t="s">
        <v>1133</v>
      </c>
      <c r="C13" s="572"/>
      <c r="D13" s="572"/>
      <c r="E13" s="572"/>
      <c r="F13" s="572"/>
      <c r="G13" s="572"/>
      <c r="H13" s="572"/>
      <c r="I13" s="572"/>
      <c r="J13" s="580"/>
      <c r="K13" s="556"/>
      <c r="L13" s="556"/>
      <c r="M13" s="556"/>
      <c r="R13" s="498"/>
      <c r="S13" s="498"/>
      <c r="T13" s="498"/>
      <c r="U13" s="498"/>
      <c r="V13" s="498"/>
      <c r="W13" s="498"/>
      <c r="X13" s="498"/>
      <c r="Y13" s="498"/>
      <c r="Z13" s="498"/>
      <c r="AA13" s="498"/>
      <c r="AB13" s="498"/>
      <c r="AC13" s="498"/>
    </row>
    <row r="14" spans="2:29" ht="9.75" customHeight="1">
      <c r="B14" s="573"/>
      <c r="C14" s="574"/>
      <c r="D14" s="574"/>
      <c r="E14" s="574"/>
      <c r="F14" s="574"/>
      <c r="G14" s="574"/>
      <c r="H14" s="574"/>
      <c r="I14" s="574"/>
      <c r="J14" s="575"/>
      <c r="K14" s="556"/>
      <c r="L14" s="556"/>
      <c r="M14" s="556"/>
      <c r="R14" s="498"/>
      <c r="S14" s="498"/>
      <c r="T14" s="498"/>
      <c r="U14" s="498"/>
      <c r="V14" s="498"/>
      <c r="W14" s="498"/>
      <c r="X14" s="498"/>
      <c r="Y14" s="498"/>
      <c r="Z14" s="498"/>
      <c r="AA14" s="498"/>
      <c r="AB14" s="498"/>
      <c r="AC14" s="498"/>
    </row>
    <row r="15" spans="2:29" ht="18" customHeight="1">
      <c r="B15" s="569" t="s">
        <v>1134</v>
      </c>
      <c r="C15" s="570"/>
      <c r="D15" s="570"/>
      <c r="E15" s="570"/>
      <c r="F15" s="570"/>
      <c r="G15" s="570"/>
      <c r="H15" s="570"/>
      <c r="I15" s="570"/>
      <c r="J15" s="571"/>
      <c r="K15" s="500"/>
      <c r="L15" s="500"/>
      <c r="M15" s="500"/>
      <c r="R15" s="498"/>
      <c r="S15" s="498"/>
      <c r="T15" s="498"/>
      <c r="U15" s="498"/>
      <c r="V15" s="498"/>
      <c r="W15" s="498"/>
      <c r="X15" s="498"/>
      <c r="Y15" s="498"/>
      <c r="Z15" s="498"/>
      <c r="AA15" s="498"/>
      <c r="AB15" s="498"/>
      <c r="AC15" s="498"/>
    </row>
    <row r="16" spans="2:29" ht="9.75" customHeight="1">
      <c r="B16" s="576"/>
      <c r="C16" s="577"/>
      <c r="D16" s="577"/>
      <c r="E16" s="577"/>
      <c r="F16" s="577"/>
      <c r="G16" s="577"/>
      <c r="H16" s="577"/>
      <c r="I16" s="577"/>
      <c r="J16" s="578"/>
      <c r="K16" s="532"/>
      <c r="L16" s="532"/>
      <c r="M16" s="532"/>
      <c r="R16" s="498"/>
      <c r="S16" s="498"/>
      <c r="T16" s="498"/>
      <c r="U16" s="498"/>
      <c r="V16" s="498"/>
      <c r="W16" s="498"/>
      <c r="X16" s="498"/>
      <c r="Y16" s="498"/>
      <c r="Z16" s="498"/>
      <c r="AA16" s="498"/>
      <c r="AB16" s="498"/>
      <c r="AC16" s="498"/>
    </row>
    <row r="17" spans="2:29" ht="15.75" customHeight="1">
      <c r="B17" s="579" t="s">
        <v>1155</v>
      </c>
      <c r="C17" s="572"/>
      <c r="D17" s="572"/>
      <c r="E17" s="572"/>
      <c r="F17" s="572"/>
      <c r="G17" s="572"/>
      <c r="H17" s="572"/>
      <c r="I17" s="572"/>
      <c r="J17" s="580"/>
      <c r="K17" s="532"/>
      <c r="L17" s="532"/>
      <c r="M17" s="532"/>
      <c r="R17" s="498"/>
      <c r="S17" s="498"/>
      <c r="T17" s="498"/>
      <c r="U17" s="498"/>
      <c r="V17" s="498"/>
      <c r="W17" s="498"/>
      <c r="X17" s="498"/>
      <c r="Y17" s="498"/>
      <c r="Z17" s="498"/>
      <c r="AA17" s="498"/>
      <c r="AB17" s="498"/>
      <c r="AC17" s="498"/>
    </row>
    <row r="18" spans="2:29" ht="42.75" customHeight="1">
      <c r="B18" s="566" t="s">
        <v>1011</v>
      </c>
      <c r="C18" s="572"/>
      <c r="D18" s="572"/>
      <c r="E18" s="572"/>
      <c r="F18" s="572"/>
      <c r="G18" s="572"/>
      <c r="H18" s="572"/>
      <c r="I18" s="572"/>
      <c r="J18" s="580"/>
      <c r="K18" s="532"/>
      <c r="L18" s="532"/>
      <c r="M18" s="532"/>
      <c r="R18" s="498"/>
      <c r="S18" s="498"/>
      <c r="T18" s="498"/>
      <c r="U18" s="498"/>
      <c r="V18" s="498"/>
      <c r="W18" s="498"/>
      <c r="X18" s="498"/>
      <c r="Y18" s="498"/>
      <c r="Z18" s="498"/>
      <c r="AA18" s="498"/>
      <c r="AB18" s="498"/>
      <c r="AC18" s="498"/>
    </row>
    <row r="19" spans="2:29" ht="9.75" customHeight="1">
      <c r="B19" s="531"/>
      <c r="C19" s="532"/>
      <c r="D19" s="532"/>
      <c r="E19" s="532"/>
      <c r="F19" s="532"/>
      <c r="G19" s="532"/>
      <c r="H19" s="532"/>
      <c r="I19" s="532"/>
      <c r="J19" s="533"/>
      <c r="K19" s="532"/>
      <c r="L19" s="532"/>
      <c r="M19" s="532"/>
      <c r="R19" s="498"/>
      <c r="S19" s="498"/>
      <c r="T19" s="498"/>
      <c r="U19" s="498"/>
      <c r="V19" s="498"/>
      <c r="W19" s="498"/>
      <c r="X19" s="498"/>
      <c r="Y19" s="498"/>
      <c r="Z19" s="498"/>
      <c r="AA19" s="498"/>
      <c r="AB19" s="498"/>
      <c r="AC19" s="498"/>
    </row>
    <row r="20" spans="2:29" ht="132" customHeight="1">
      <c r="B20" s="531"/>
      <c r="C20" s="532"/>
      <c r="D20" s="532"/>
      <c r="E20" s="532"/>
      <c r="F20" s="532"/>
      <c r="G20" s="532"/>
      <c r="H20" s="532"/>
      <c r="I20" s="532"/>
      <c r="J20" s="533"/>
      <c r="K20" s="532"/>
      <c r="L20" s="532"/>
      <c r="M20" s="532"/>
      <c r="R20" s="498"/>
      <c r="S20" s="498"/>
      <c r="T20" s="498"/>
      <c r="U20" s="498"/>
      <c r="V20" s="498"/>
      <c r="W20" s="498"/>
      <c r="X20" s="498"/>
      <c r="Y20" s="498"/>
      <c r="Z20" s="498"/>
      <c r="AA20" s="498"/>
      <c r="AB20" s="498"/>
      <c r="AC20" s="498"/>
    </row>
    <row r="21" spans="2:29" ht="15.75" customHeight="1">
      <c r="B21" s="573"/>
      <c r="C21" s="574"/>
      <c r="D21" s="574"/>
      <c r="E21" s="574"/>
      <c r="F21" s="574"/>
      <c r="G21" s="574"/>
      <c r="H21" s="574"/>
      <c r="I21" s="574"/>
      <c r="J21" s="575"/>
      <c r="K21" s="532"/>
      <c r="L21" s="532"/>
      <c r="M21" s="532"/>
      <c r="R21" s="498"/>
      <c r="S21" s="498"/>
      <c r="T21" s="498"/>
      <c r="U21" s="498"/>
      <c r="V21" s="498"/>
      <c r="W21" s="498"/>
      <c r="X21" s="498"/>
      <c r="Y21" s="498"/>
      <c r="Z21" s="498"/>
      <c r="AA21" s="498"/>
      <c r="AB21" s="498"/>
      <c r="AC21" s="498"/>
    </row>
    <row r="22" spans="2:29" ht="18" customHeight="1">
      <c r="B22" s="569" t="s">
        <v>1135</v>
      </c>
      <c r="C22" s="570"/>
      <c r="D22" s="570"/>
      <c r="E22" s="570"/>
      <c r="F22" s="570"/>
      <c r="G22" s="570"/>
      <c r="H22" s="570"/>
      <c r="I22" s="570"/>
      <c r="J22" s="571"/>
      <c r="K22" s="500"/>
      <c r="L22" s="500"/>
      <c r="M22" s="500"/>
      <c r="R22" s="497"/>
      <c r="S22" s="498"/>
      <c r="T22" s="498"/>
      <c r="U22" s="498"/>
      <c r="V22" s="498"/>
      <c r="W22" s="498"/>
      <c r="X22" s="498"/>
      <c r="Y22" s="498"/>
      <c r="Z22" s="498"/>
      <c r="AA22" s="498"/>
      <c r="AB22" s="498"/>
      <c r="AC22" s="498"/>
    </row>
    <row r="23" spans="2:29" ht="9.75" customHeight="1">
      <c r="B23" s="531"/>
      <c r="C23" s="532"/>
      <c r="D23" s="532"/>
      <c r="E23" s="532"/>
      <c r="F23" s="532"/>
      <c r="G23" s="532"/>
      <c r="H23" s="532"/>
      <c r="I23" s="532"/>
      <c r="J23" s="533"/>
      <c r="K23" s="532"/>
      <c r="L23" s="532"/>
      <c r="M23" s="532"/>
      <c r="R23" s="498"/>
      <c r="S23" s="498"/>
      <c r="T23" s="498"/>
      <c r="U23" s="498"/>
      <c r="V23" s="498"/>
      <c r="W23" s="498"/>
      <c r="X23" s="498"/>
      <c r="Y23" s="498"/>
      <c r="Z23" s="498"/>
      <c r="AA23" s="498"/>
      <c r="AB23" s="498"/>
      <c r="AC23" s="498"/>
    </row>
    <row r="24" spans="2:29" ht="25.5" customHeight="1">
      <c r="B24" s="531"/>
      <c r="C24" s="532"/>
      <c r="D24" s="532"/>
      <c r="E24" s="532"/>
      <c r="F24" s="532"/>
      <c r="G24" s="532"/>
      <c r="H24" s="532"/>
      <c r="I24" s="532"/>
      <c r="J24" s="533"/>
      <c r="K24" s="532"/>
      <c r="L24" s="532"/>
      <c r="M24" s="532"/>
      <c r="R24" s="498"/>
      <c r="S24" s="501"/>
      <c r="T24" s="498"/>
      <c r="U24" s="498"/>
      <c r="V24" s="498"/>
      <c r="W24" s="498"/>
      <c r="X24" s="498"/>
      <c r="Y24" s="498"/>
      <c r="Z24" s="498"/>
      <c r="AA24" s="498"/>
      <c r="AB24" s="498"/>
      <c r="AC24" s="498"/>
    </row>
    <row r="25" spans="2:29" ht="15.75" customHeight="1">
      <c r="B25" s="531"/>
      <c r="C25" s="532"/>
      <c r="D25" s="532"/>
      <c r="E25" s="532"/>
      <c r="F25" s="532"/>
      <c r="G25" s="532"/>
      <c r="H25" s="532"/>
      <c r="I25" s="532"/>
      <c r="J25" s="533"/>
      <c r="K25" s="532"/>
      <c r="L25" s="532"/>
      <c r="M25" s="532"/>
      <c r="R25" s="498"/>
      <c r="S25" s="498"/>
      <c r="T25" s="498"/>
      <c r="U25" s="498"/>
      <c r="V25" s="498"/>
      <c r="W25" s="498"/>
      <c r="X25" s="498"/>
      <c r="Y25" s="498"/>
      <c r="Z25" s="498"/>
      <c r="AA25" s="498"/>
      <c r="AB25" s="498"/>
      <c r="AC25" s="498"/>
    </row>
    <row r="26" spans="2:29" ht="19.5" customHeight="1">
      <c r="B26" s="569" t="s">
        <v>1136</v>
      </c>
      <c r="C26" s="570"/>
      <c r="D26" s="570"/>
      <c r="E26" s="570"/>
      <c r="F26" s="570"/>
      <c r="G26" s="570"/>
      <c r="H26" s="570"/>
      <c r="I26" s="570"/>
      <c r="J26" s="571"/>
      <c r="K26" s="500"/>
      <c r="L26" s="500"/>
      <c r="M26" s="500"/>
      <c r="R26" s="498"/>
      <c r="S26" s="498"/>
      <c r="T26" s="498"/>
      <c r="U26" s="498"/>
      <c r="V26" s="498"/>
      <c r="W26" s="498"/>
      <c r="X26" s="498"/>
      <c r="Y26" s="498"/>
      <c r="Z26" s="498"/>
      <c r="AA26" s="498"/>
      <c r="AB26" s="498"/>
      <c r="AC26" s="498"/>
    </row>
    <row r="27" spans="2:29" ht="15.75" customHeight="1">
      <c r="B27" s="531"/>
      <c r="C27" s="532"/>
      <c r="D27" s="532"/>
      <c r="E27" s="532"/>
      <c r="F27" s="532"/>
      <c r="G27" s="532"/>
      <c r="H27" s="532"/>
      <c r="I27" s="532"/>
      <c r="J27" s="533"/>
      <c r="K27" s="532"/>
      <c r="L27" s="532"/>
      <c r="M27" s="532"/>
      <c r="R27" s="498"/>
      <c r="S27" s="498"/>
      <c r="T27" s="498"/>
      <c r="U27" s="498"/>
      <c r="V27" s="498"/>
      <c r="W27" s="498"/>
      <c r="X27" s="498"/>
      <c r="Y27" s="498"/>
      <c r="Z27" s="498"/>
      <c r="AA27" s="498"/>
      <c r="AB27" s="498"/>
      <c r="AC27" s="498"/>
    </row>
    <row r="28" spans="2:29" ht="36" customHeight="1">
      <c r="B28" s="581" t="s">
        <v>1137</v>
      </c>
      <c r="C28" s="582"/>
      <c r="D28" s="582"/>
      <c r="E28" s="582"/>
      <c r="F28" s="582"/>
      <c r="G28" s="582"/>
      <c r="H28" s="582"/>
      <c r="I28" s="582"/>
      <c r="J28" s="583"/>
      <c r="K28" s="502"/>
      <c r="L28" s="502"/>
      <c r="M28" s="502"/>
      <c r="R28" s="498"/>
      <c r="S28" s="498"/>
      <c r="T28" s="498"/>
      <c r="U28" s="498"/>
      <c r="V28" s="498"/>
      <c r="W28" s="498"/>
      <c r="X28" s="498"/>
      <c r="Y28" s="498"/>
      <c r="Z28" s="498"/>
      <c r="AA28" s="498"/>
      <c r="AB28" s="498"/>
      <c r="AC28" s="498"/>
    </row>
    <row r="29" spans="2:29" ht="9.75" customHeight="1">
      <c r="B29" s="531"/>
      <c r="C29" s="532"/>
      <c r="D29" s="532"/>
      <c r="E29" s="532"/>
      <c r="F29" s="532"/>
      <c r="G29" s="532"/>
      <c r="H29" s="532"/>
      <c r="I29" s="532"/>
      <c r="J29" s="533"/>
      <c r="K29" s="532"/>
      <c r="L29" s="532"/>
      <c r="M29" s="532"/>
      <c r="R29" s="498"/>
      <c r="S29" s="498"/>
      <c r="T29" s="498"/>
      <c r="U29" s="498"/>
      <c r="V29" s="498"/>
      <c r="W29" s="498"/>
      <c r="X29" s="498"/>
      <c r="Y29" s="498"/>
      <c r="Z29" s="498"/>
      <c r="AA29" s="498"/>
      <c r="AB29" s="498"/>
      <c r="AC29" s="498"/>
    </row>
    <row r="30" spans="2:29" ht="24.75" customHeight="1">
      <c r="B30" s="566" t="s">
        <v>1008</v>
      </c>
      <c r="C30" s="567"/>
      <c r="D30" s="567"/>
      <c r="E30" s="567"/>
      <c r="F30" s="567"/>
      <c r="G30" s="567"/>
      <c r="H30" s="567"/>
      <c r="I30" s="567"/>
      <c r="J30" s="568"/>
      <c r="K30" s="534"/>
      <c r="L30" s="534"/>
      <c r="M30" s="534"/>
      <c r="R30" s="498"/>
      <c r="S30" s="498"/>
      <c r="T30" s="498"/>
      <c r="U30" s="498"/>
      <c r="V30" s="498"/>
      <c r="W30" s="498"/>
      <c r="X30" s="498"/>
      <c r="Y30" s="498"/>
      <c r="Z30" s="498"/>
      <c r="AA30" s="498"/>
      <c r="AB30" s="498"/>
      <c r="AC30" s="498"/>
    </row>
    <row r="31" spans="2:29" ht="9.75" customHeight="1">
      <c r="B31" s="531"/>
      <c r="C31" s="532"/>
      <c r="D31" s="532"/>
      <c r="E31" s="532"/>
      <c r="F31" s="532"/>
      <c r="G31" s="532"/>
      <c r="H31" s="532"/>
      <c r="I31" s="532"/>
      <c r="J31" s="533"/>
      <c r="K31" s="532"/>
      <c r="L31" s="532"/>
      <c r="M31" s="532"/>
      <c r="R31" s="498"/>
      <c r="S31" s="498"/>
      <c r="T31" s="498"/>
      <c r="U31" s="498"/>
      <c r="V31" s="498"/>
      <c r="W31" s="498"/>
      <c r="X31" s="498"/>
      <c r="Y31" s="498"/>
      <c r="Z31" s="498"/>
      <c r="AA31" s="498"/>
      <c r="AB31" s="498"/>
      <c r="AC31" s="498"/>
    </row>
    <row r="32" spans="2:29" ht="15">
      <c r="B32" s="531"/>
      <c r="C32" s="532"/>
      <c r="D32" s="532"/>
      <c r="E32" s="532"/>
      <c r="F32" s="532"/>
      <c r="G32" s="532"/>
      <c r="H32" s="532"/>
      <c r="I32" s="532"/>
      <c r="J32" s="533"/>
      <c r="K32" s="532"/>
      <c r="L32" s="532"/>
      <c r="M32" s="532"/>
      <c r="R32" s="498"/>
      <c r="S32" s="498"/>
      <c r="T32" s="498"/>
      <c r="U32" s="498"/>
      <c r="V32" s="498"/>
      <c r="W32" s="498"/>
      <c r="X32" s="498"/>
      <c r="Y32" s="498"/>
      <c r="Z32" s="498"/>
      <c r="AA32" s="498"/>
      <c r="AB32" s="498"/>
      <c r="AC32" s="498"/>
    </row>
    <row r="33" spans="2:29" ht="15">
      <c r="B33" s="531"/>
      <c r="C33" s="532"/>
      <c r="D33" s="532"/>
      <c r="E33" s="532"/>
      <c r="F33" s="532"/>
      <c r="G33" s="532"/>
      <c r="H33" s="532"/>
      <c r="I33" s="532"/>
      <c r="J33" s="533"/>
      <c r="K33" s="532"/>
      <c r="L33" s="532"/>
      <c r="M33" s="532"/>
      <c r="R33" s="498"/>
      <c r="S33" s="498"/>
      <c r="T33" s="498"/>
      <c r="U33" s="498"/>
      <c r="V33" s="498"/>
      <c r="W33" s="498"/>
      <c r="X33" s="498"/>
      <c r="Y33" s="498"/>
      <c r="Z33" s="498"/>
      <c r="AA33" s="498"/>
      <c r="AB33" s="498"/>
      <c r="AC33" s="498"/>
    </row>
    <row r="34" spans="2:29" ht="15">
      <c r="B34" s="531"/>
      <c r="C34" s="532"/>
      <c r="D34" s="532"/>
      <c r="E34" s="532"/>
      <c r="F34" s="532"/>
      <c r="G34" s="532"/>
      <c r="H34" s="532"/>
      <c r="I34" s="532"/>
      <c r="J34" s="533"/>
      <c r="K34" s="532"/>
      <c r="L34" s="532"/>
      <c r="M34" s="532"/>
      <c r="R34" s="498"/>
      <c r="S34" s="498"/>
      <c r="T34" s="498"/>
      <c r="U34" s="498"/>
      <c r="V34" s="498"/>
      <c r="W34" s="498"/>
      <c r="X34" s="498"/>
      <c r="Y34" s="498"/>
      <c r="Z34" s="498"/>
      <c r="AA34" s="498"/>
      <c r="AB34" s="498"/>
      <c r="AC34" s="498"/>
    </row>
    <row r="35" spans="2:29" ht="15">
      <c r="B35" s="531"/>
      <c r="C35" s="532"/>
      <c r="D35" s="532"/>
      <c r="E35" s="532"/>
      <c r="F35" s="532"/>
      <c r="G35" s="532"/>
      <c r="H35" s="532"/>
      <c r="I35" s="532"/>
      <c r="J35" s="533"/>
      <c r="K35" s="532"/>
      <c r="L35" s="532"/>
      <c r="M35" s="532"/>
      <c r="R35" s="498"/>
      <c r="S35" s="498"/>
      <c r="T35" s="498"/>
      <c r="U35" s="498"/>
      <c r="V35" s="498"/>
      <c r="W35" s="498"/>
      <c r="X35" s="498"/>
      <c r="Y35" s="498"/>
      <c r="Z35" s="498"/>
      <c r="AA35" s="498"/>
      <c r="AB35" s="498"/>
      <c r="AC35" s="498"/>
    </row>
    <row r="36" spans="2:29" ht="15">
      <c r="B36" s="503"/>
      <c r="C36" s="496"/>
      <c r="D36" s="496"/>
      <c r="E36" s="496"/>
      <c r="F36" s="496"/>
      <c r="G36" s="496"/>
      <c r="H36" s="496"/>
      <c r="I36" s="496"/>
      <c r="J36" s="504"/>
      <c r="K36" s="496"/>
      <c r="L36" s="496"/>
      <c r="M36" s="496"/>
      <c r="R36" s="498"/>
      <c r="S36" s="498"/>
      <c r="T36" s="498"/>
      <c r="U36" s="498"/>
      <c r="V36" s="498"/>
      <c r="W36" s="498"/>
      <c r="X36" s="498"/>
      <c r="Y36" s="498"/>
      <c r="Z36" s="498"/>
      <c r="AA36" s="498"/>
      <c r="AB36" s="498"/>
      <c r="AC36" s="498"/>
    </row>
    <row r="37" spans="2:29" ht="15">
      <c r="B37" s="505"/>
      <c r="C37" s="506"/>
      <c r="D37" s="506"/>
      <c r="E37" s="506"/>
      <c r="F37" s="506"/>
      <c r="G37" s="506"/>
      <c r="H37" s="506"/>
      <c r="I37" s="506"/>
      <c r="J37" s="507"/>
      <c r="K37" s="506"/>
      <c r="L37" s="506"/>
      <c r="M37" s="506"/>
      <c r="R37" s="498"/>
      <c r="S37" s="498"/>
      <c r="T37" s="498"/>
      <c r="U37" s="498"/>
      <c r="V37" s="498"/>
      <c r="W37" s="498"/>
      <c r="X37" s="498"/>
      <c r="Y37" s="498"/>
      <c r="Z37" s="498"/>
      <c r="AA37" s="498"/>
      <c r="AB37" s="498"/>
      <c r="AC37" s="498"/>
    </row>
    <row r="38" spans="2:29" ht="15">
      <c r="B38" s="505"/>
      <c r="C38" s="506"/>
      <c r="D38" s="506"/>
      <c r="E38" s="506"/>
      <c r="F38" s="506"/>
      <c r="G38" s="506"/>
      <c r="H38" s="506"/>
      <c r="I38" s="506"/>
      <c r="J38" s="507"/>
      <c r="K38" s="506"/>
      <c r="L38" s="506"/>
      <c r="M38" s="506"/>
      <c r="R38" s="498"/>
      <c r="S38" s="498"/>
      <c r="T38" s="498"/>
      <c r="U38" s="498"/>
      <c r="V38" s="498"/>
      <c r="W38" s="498"/>
      <c r="X38" s="498"/>
      <c r="Y38" s="498"/>
      <c r="Z38" s="498"/>
      <c r="AA38" s="498"/>
      <c r="AB38" s="498"/>
      <c r="AC38" s="498"/>
    </row>
    <row r="39" spans="2:29" ht="10.5" customHeight="1">
      <c r="B39" s="505"/>
      <c r="C39" s="506"/>
      <c r="D39" s="506"/>
      <c r="E39" s="506"/>
      <c r="F39" s="506"/>
      <c r="G39" s="506"/>
      <c r="H39" s="506"/>
      <c r="I39" s="506"/>
      <c r="J39" s="507"/>
      <c r="K39" s="506"/>
      <c r="L39" s="506"/>
      <c r="M39" s="506"/>
      <c r="R39" s="498"/>
      <c r="S39" s="498"/>
      <c r="T39" s="498"/>
      <c r="U39" s="498"/>
      <c r="V39" s="498"/>
      <c r="W39" s="498"/>
      <c r="X39" s="498"/>
      <c r="Y39" s="498"/>
      <c r="Z39" s="498"/>
      <c r="AA39" s="498"/>
      <c r="AB39" s="498"/>
      <c r="AC39" s="498"/>
    </row>
    <row r="40" spans="2:29" ht="15.75" customHeight="1">
      <c r="B40" s="531"/>
      <c r="C40" s="532"/>
      <c r="D40" s="532"/>
      <c r="E40" s="532"/>
      <c r="F40" s="532"/>
      <c r="G40" s="532"/>
      <c r="H40" s="532"/>
      <c r="I40" s="532"/>
      <c r="J40" s="533"/>
      <c r="K40" s="532"/>
      <c r="L40" s="532"/>
      <c r="M40" s="532"/>
      <c r="R40" s="498"/>
      <c r="S40" s="498"/>
      <c r="T40" s="498"/>
      <c r="U40" s="498"/>
      <c r="V40" s="498"/>
      <c r="W40" s="498"/>
      <c r="X40" s="498"/>
      <c r="Y40" s="498"/>
      <c r="Z40" s="498"/>
      <c r="AA40" s="498"/>
      <c r="AB40" s="498"/>
      <c r="AC40" s="498"/>
    </row>
    <row r="41" spans="2:29" ht="19.5" customHeight="1">
      <c r="B41" s="569" t="s">
        <v>1138</v>
      </c>
      <c r="C41" s="570"/>
      <c r="D41" s="570"/>
      <c r="E41" s="570"/>
      <c r="F41" s="570"/>
      <c r="G41" s="570"/>
      <c r="H41" s="570"/>
      <c r="I41" s="570"/>
      <c r="J41" s="571"/>
      <c r="K41" s="500"/>
      <c r="L41" s="500"/>
      <c r="M41" s="500"/>
      <c r="R41" s="498"/>
      <c r="S41" s="498"/>
      <c r="T41" s="498"/>
      <c r="U41" s="498"/>
      <c r="V41" s="498"/>
      <c r="W41" s="498"/>
      <c r="X41" s="498"/>
      <c r="Y41" s="498"/>
      <c r="Z41" s="498"/>
      <c r="AA41" s="498"/>
      <c r="AB41" s="498"/>
      <c r="AC41" s="498"/>
    </row>
    <row r="42" spans="2:29" ht="30" customHeight="1" thickBot="1">
      <c r="B42" s="588" t="s">
        <v>1009</v>
      </c>
      <c r="C42" s="589"/>
      <c r="D42" s="589"/>
      <c r="E42" s="589"/>
      <c r="F42" s="589"/>
      <c r="G42" s="589"/>
      <c r="H42" s="589"/>
      <c r="I42" s="589"/>
      <c r="J42" s="590"/>
      <c r="K42" s="496"/>
      <c r="L42" s="496"/>
      <c r="M42" s="496"/>
      <c r="R42" s="498"/>
      <c r="S42" s="498"/>
      <c r="T42" s="498"/>
      <c r="U42" s="498"/>
      <c r="V42" s="498"/>
      <c r="W42" s="498"/>
      <c r="X42" s="498"/>
      <c r="Y42" s="498"/>
      <c r="Z42" s="498"/>
      <c r="AA42" s="498"/>
      <c r="AB42" s="498"/>
      <c r="AC42" s="498"/>
    </row>
    <row r="43" spans="2:29" ht="15">
      <c r="B43" s="506"/>
      <c r="C43" s="506"/>
      <c r="D43" s="506"/>
      <c r="E43" s="506"/>
      <c r="F43" s="506"/>
      <c r="G43" s="506"/>
      <c r="H43" s="506"/>
      <c r="I43" s="506"/>
      <c r="J43" s="506"/>
      <c r="K43" s="506"/>
      <c r="L43" s="506"/>
      <c r="M43" s="506"/>
      <c r="R43" s="498"/>
      <c r="S43" s="498"/>
      <c r="T43" s="498"/>
      <c r="U43" s="498"/>
      <c r="V43" s="498"/>
      <c r="W43" s="498"/>
      <c r="X43" s="498"/>
      <c r="Y43" s="498"/>
      <c r="Z43" s="498"/>
      <c r="AA43" s="498"/>
      <c r="AB43" s="498"/>
      <c r="AC43" s="498"/>
    </row>
    <row r="44" spans="18:29" ht="37.5" customHeight="1">
      <c r="R44" s="498"/>
      <c r="S44" s="498"/>
      <c r="T44" s="498"/>
      <c r="U44" s="498"/>
      <c r="V44" s="498"/>
      <c r="W44" s="498"/>
      <c r="X44" s="498"/>
      <c r="Y44" s="498"/>
      <c r="Z44" s="498"/>
      <c r="AA44" s="498"/>
      <c r="AB44" s="498"/>
      <c r="AC44" s="498"/>
    </row>
    <row r="45" spans="2:29" ht="15.75" customHeight="1">
      <c r="B45" s="508" t="s">
        <v>971</v>
      </c>
      <c r="C45" s="491"/>
      <c r="D45" s="491"/>
      <c r="E45" s="491"/>
      <c r="F45" s="491"/>
      <c r="G45" s="491"/>
      <c r="H45" s="491"/>
      <c r="I45" s="491"/>
      <c r="J45" s="509">
        <v>45364</v>
      </c>
      <c r="M45" s="509"/>
      <c r="R45" s="498"/>
      <c r="S45" s="501"/>
      <c r="T45" s="498"/>
      <c r="U45" s="498"/>
      <c r="V45" s="498"/>
      <c r="W45" s="498"/>
      <c r="X45" s="498"/>
      <c r="Y45" s="498"/>
      <c r="Z45" s="498"/>
      <c r="AA45" s="498"/>
      <c r="AB45" s="498"/>
      <c r="AC45" s="498"/>
    </row>
    <row r="46" spans="2:29" ht="6" customHeight="1">
      <c r="B46" s="510"/>
      <c r="C46" s="510"/>
      <c r="D46" s="510"/>
      <c r="E46" s="510"/>
      <c r="F46" s="510"/>
      <c r="G46" s="510"/>
      <c r="H46" s="510"/>
      <c r="I46" s="510"/>
      <c r="J46" s="510"/>
      <c r="K46" s="496"/>
      <c r="L46" s="496"/>
      <c r="M46" s="496"/>
      <c r="R46" s="498"/>
      <c r="S46" s="501"/>
      <c r="T46" s="498"/>
      <c r="U46" s="498"/>
      <c r="V46" s="498"/>
      <c r="W46" s="498"/>
      <c r="X46" s="498"/>
      <c r="Y46" s="498"/>
      <c r="Z46" s="498"/>
      <c r="AA46" s="498"/>
      <c r="AB46" s="498"/>
      <c r="AC46" s="498"/>
    </row>
    <row r="47" spans="18:29" ht="15">
      <c r="R47" s="498"/>
      <c r="S47" s="501"/>
      <c r="T47" s="498"/>
      <c r="U47" s="498"/>
      <c r="V47" s="498"/>
      <c r="W47" s="498"/>
      <c r="X47" s="498"/>
      <c r="Y47" s="498"/>
      <c r="Z47" s="498"/>
      <c r="AA47" s="498"/>
      <c r="AB47" s="498"/>
      <c r="AC47" s="498"/>
    </row>
    <row r="48" spans="18:29" ht="15">
      <c r="R48" s="498"/>
      <c r="S48" s="498"/>
      <c r="T48" s="498"/>
      <c r="U48" s="498"/>
      <c r="V48" s="498"/>
      <c r="W48" s="498"/>
      <c r="X48" s="498"/>
      <c r="Y48" s="498"/>
      <c r="Z48" s="498"/>
      <c r="AA48" s="498"/>
      <c r="AB48" s="498"/>
      <c r="AC48" s="498"/>
    </row>
    <row r="49" spans="18:29" ht="15">
      <c r="R49" s="498"/>
      <c r="S49" s="498"/>
      <c r="T49" s="498"/>
      <c r="U49" s="498"/>
      <c r="V49" s="498"/>
      <c r="W49" s="498"/>
      <c r="X49" s="498"/>
      <c r="Y49" s="498"/>
      <c r="Z49" s="498"/>
      <c r="AA49" s="498"/>
      <c r="AB49" s="498"/>
      <c r="AC49" s="498"/>
    </row>
    <row r="50" spans="18:29" ht="15">
      <c r="R50" s="498"/>
      <c r="S50" s="498"/>
      <c r="T50" s="498"/>
      <c r="U50" s="498"/>
      <c r="V50" s="498"/>
      <c r="W50" s="498"/>
      <c r="X50" s="498"/>
      <c r="Y50" s="498"/>
      <c r="Z50" s="498"/>
      <c r="AA50" s="498"/>
      <c r="AB50" s="498"/>
      <c r="AC50" s="498"/>
    </row>
    <row r="51" spans="18:29" ht="15">
      <c r="R51" s="498"/>
      <c r="S51" s="498"/>
      <c r="T51" s="498"/>
      <c r="U51" s="498"/>
      <c r="V51" s="498"/>
      <c r="W51" s="498"/>
      <c r="X51" s="498"/>
      <c r="Y51" s="498"/>
      <c r="Z51" s="498"/>
      <c r="AA51" s="498"/>
      <c r="AB51" s="498"/>
      <c r="AC51" s="498"/>
    </row>
    <row r="52" spans="18:29" ht="15">
      <c r="R52" s="498"/>
      <c r="S52" s="498"/>
      <c r="T52" s="498"/>
      <c r="U52" s="498"/>
      <c r="V52" s="498"/>
      <c r="W52" s="498"/>
      <c r="X52" s="498"/>
      <c r="Y52" s="498"/>
      <c r="Z52" s="498"/>
      <c r="AA52" s="498"/>
      <c r="AB52" s="498"/>
      <c r="AC52" s="498"/>
    </row>
    <row r="53" spans="18:29" ht="15">
      <c r="R53" s="498"/>
      <c r="S53" s="498"/>
      <c r="T53" s="498"/>
      <c r="U53" s="498"/>
      <c r="V53" s="498"/>
      <c r="W53" s="498"/>
      <c r="X53" s="498"/>
      <c r="Y53" s="498"/>
      <c r="Z53" s="498"/>
      <c r="AA53" s="498"/>
      <c r="AB53" s="498"/>
      <c r="AC53" s="498"/>
    </row>
    <row r="54" spans="18:29" ht="15">
      <c r="R54" s="498"/>
      <c r="S54" s="498"/>
      <c r="T54" s="498"/>
      <c r="U54" s="498"/>
      <c r="V54" s="498"/>
      <c r="W54" s="498"/>
      <c r="X54" s="498"/>
      <c r="Y54" s="498"/>
      <c r="Z54" s="498"/>
      <c r="AA54" s="498"/>
      <c r="AB54" s="498"/>
      <c r="AC54" s="498"/>
    </row>
    <row r="55" spans="18:29" ht="15">
      <c r="R55" s="498"/>
      <c r="S55" s="498"/>
      <c r="T55" s="498"/>
      <c r="U55" s="498"/>
      <c r="V55" s="498"/>
      <c r="W55" s="498"/>
      <c r="X55" s="498"/>
      <c r="Y55" s="498"/>
      <c r="Z55" s="498"/>
      <c r="AA55" s="498"/>
      <c r="AB55" s="498"/>
      <c r="AC55" s="498"/>
    </row>
    <row r="56" spans="18:29" ht="15">
      <c r="R56" s="498"/>
      <c r="S56" s="498"/>
      <c r="T56" s="498"/>
      <c r="U56" s="498"/>
      <c r="V56" s="498"/>
      <c r="W56" s="498"/>
      <c r="X56" s="498"/>
      <c r="Y56" s="498"/>
      <c r="Z56" s="498"/>
      <c r="AA56" s="498"/>
      <c r="AB56" s="498"/>
      <c r="AC56" s="498"/>
    </row>
    <row r="57" spans="18:29" ht="15">
      <c r="R57" s="498"/>
      <c r="S57" s="498"/>
      <c r="T57" s="498"/>
      <c r="U57" s="498"/>
      <c r="V57" s="498"/>
      <c r="W57" s="498"/>
      <c r="X57" s="498"/>
      <c r="Y57" s="498"/>
      <c r="Z57" s="498"/>
      <c r="AA57" s="498"/>
      <c r="AB57" s="498"/>
      <c r="AC57" s="498"/>
    </row>
    <row r="58" spans="18:29" ht="15">
      <c r="R58" s="498"/>
      <c r="S58" s="498"/>
      <c r="T58" s="498"/>
      <c r="U58" s="498"/>
      <c r="V58" s="498"/>
      <c r="W58" s="498"/>
      <c r="X58" s="498"/>
      <c r="Y58" s="498"/>
      <c r="Z58" s="498"/>
      <c r="AA58" s="498"/>
      <c r="AB58" s="498"/>
      <c r="AC58" s="498"/>
    </row>
    <row r="59" spans="18:29" ht="15">
      <c r="R59" s="498"/>
      <c r="S59" s="498"/>
      <c r="T59" s="498"/>
      <c r="U59" s="498"/>
      <c r="V59" s="498"/>
      <c r="W59" s="498"/>
      <c r="X59" s="498"/>
      <c r="Y59" s="498"/>
      <c r="Z59" s="498"/>
      <c r="AA59" s="498"/>
      <c r="AB59" s="498"/>
      <c r="AC59" s="498"/>
    </row>
    <row r="60" spans="18:29" ht="15">
      <c r="R60" s="498"/>
      <c r="S60" s="498"/>
      <c r="T60" s="498"/>
      <c r="U60" s="498"/>
      <c r="V60" s="498"/>
      <c r="W60" s="498"/>
      <c r="X60" s="498"/>
      <c r="Y60" s="498"/>
      <c r="Z60" s="498"/>
      <c r="AA60" s="498"/>
      <c r="AB60" s="498"/>
      <c r="AC60" s="498"/>
    </row>
    <row r="61" spans="18:29" ht="15">
      <c r="R61" s="498"/>
      <c r="S61" s="498"/>
      <c r="T61" s="498"/>
      <c r="U61" s="498"/>
      <c r="V61" s="498"/>
      <c r="W61" s="498"/>
      <c r="X61" s="498"/>
      <c r="Y61" s="498"/>
      <c r="Z61" s="498"/>
      <c r="AA61" s="498"/>
      <c r="AB61" s="498"/>
      <c r="AC61" s="498"/>
    </row>
    <row r="62" spans="18:29" ht="15">
      <c r="R62" s="498"/>
      <c r="S62" s="498"/>
      <c r="T62" s="498"/>
      <c r="U62" s="498"/>
      <c r="V62" s="498"/>
      <c r="W62" s="498"/>
      <c r="X62" s="498"/>
      <c r="Y62" s="498"/>
      <c r="Z62" s="498"/>
      <c r="AA62" s="498"/>
      <c r="AB62" s="498"/>
      <c r="AC62" s="498"/>
    </row>
    <row r="63" spans="18:29" ht="15">
      <c r="R63" s="498"/>
      <c r="S63" s="498"/>
      <c r="T63" s="498"/>
      <c r="U63" s="498"/>
      <c r="V63" s="498"/>
      <c r="W63" s="498"/>
      <c r="X63" s="498"/>
      <c r="Y63" s="498"/>
      <c r="Z63" s="498"/>
      <c r="AA63" s="498"/>
      <c r="AB63" s="498"/>
      <c r="AC63" s="498"/>
    </row>
    <row r="64" spans="18:29" ht="15">
      <c r="R64" s="498"/>
      <c r="S64" s="498"/>
      <c r="T64" s="498"/>
      <c r="U64" s="498"/>
      <c r="V64" s="498"/>
      <c r="W64" s="498"/>
      <c r="X64" s="498"/>
      <c r="Y64" s="498"/>
      <c r="Z64" s="498"/>
      <c r="AA64" s="498"/>
      <c r="AB64" s="498"/>
      <c r="AC64" s="498"/>
    </row>
    <row r="65" spans="18:29" ht="15">
      <c r="R65" s="498"/>
      <c r="S65" s="498"/>
      <c r="T65" s="498"/>
      <c r="U65" s="498"/>
      <c r="V65" s="498"/>
      <c r="W65" s="498"/>
      <c r="X65" s="498"/>
      <c r="Y65" s="498"/>
      <c r="Z65" s="498"/>
      <c r="AA65" s="498"/>
      <c r="AB65" s="498"/>
      <c r="AC65" s="498"/>
    </row>
    <row r="66" spans="18:29" ht="15">
      <c r="R66" s="498"/>
      <c r="S66" s="498"/>
      <c r="T66" s="498"/>
      <c r="U66" s="498"/>
      <c r="V66" s="498"/>
      <c r="W66" s="498"/>
      <c r="X66" s="498"/>
      <c r="Y66" s="498"/>
      <c r="Z66" s="498"/>
      <c r="AA66" s="498"/>
      <c r="AB66" s="498"/>
      <c r="AC66" s="498"/>
    </row>
    <row r="67" spans="18:29" ht="15">
      <c r="R67" s="498"/>
      <c r="S67" s="498"/>
      <c r="T67" s="498"/>
      <c r="U67" s="498"/>
      <c r="V67" s="498"/>
      <c r="W67" s="498"/>
      <c r="X67" s="498"/>
      <c r="Y67" s="498"/>
      <c r="Z67" s="498"/>
      <c r="AA67" s="498"/>
      <c r="AB67" s="498"/>
      <c r="AC67" s="498"/>
    </row>
    <row r="68" spans="18:29" ht="15">
      <c r="R68" s="498"/>
      <c r="S68" s="498"/>
      <c r="T68" s="498"/>
      <c r="U68" s="498"/>
      <c r="V68" s="498"/>
      <c r="W68" s="498"/>
      <c r="X68" s="498"/>
      <c r="Y68" s="498"/>
      <c r="Z68" s="498"/>
      <c r="AA68" s="498"/>
      <c r="AB68" s="498"/>
      <c r="AC68" s="498"/>
    </row>
    <row r="69" spans="18:29" ht="15">
      <c r="R69" s="498"/>
      <c r="S69" s="498"/>
      <c r="T69" s="498"/>
      <c r="U69" s="498"/>
      <c r="V69" s="498"/>
      <c r="W69" s="498"/>
      <c r="X69" s="498"/>
      <c r="Y69" s="498"/>
      <c r="Z69" s="498"/>
      <c r="AA69" s="498"/>
      <c r="AB69" s="498"/>
      <c r="AC69" s="498"/>
    </row>
    <row r="70" spans="18:29" ht="15">
      <c r="R70" s="498"/>
      <c r="S70" s="498"/>
      <c r="T70" s="498"/>
      <c r="U70" s="498"/>
      <c r="V70" s="498"/>
      <c r="W70" s="498"/>
      <c r="X70" s="498"/>
      <c r="Y70" s="498"/>
      <c r="Z70" s="498"/>
      <c r="AA70" s="498"/>
      <c r="AB70" s="498"/>
      <c r="AC70" s="498"/>
    </row>
    <row r="71" spans="18:29" ht="15">
      <c r="R71" s="498"/>
      <c r="S71" s="501"/>
      <c r="T71" s="498"/>
      <c r="U71" s="498"/>
      <c r="V71" s="498"/>
      <c r="W71" s="498"/>
      <c r="X71" s="498"/>
      <c r="Y71" s="498"/>
      <c r="Z71" s="498"/>
      <c r="AA71" s="498"/>
      <c r="AB71" s="498"/>
      <c r="AC71" s="498"/>
    </row>
    <row r="72" spans="18:29" ht="15">
      <c r="R72" s="498"/>
      <c r="S72" s="501"/>
      <c r="T72" s="498"/>
      <c r="U72" s="498"/>
      <c r="V72" s="498"/>
      <c r="W72" s="498"/>
      <c r="X72" s="498"/>
      <c r="Y72" s="498"/>
      <c r="Z72" s="498"/>
      <c r="AA72" s="498"/>
      <c r="AB72" s="498"/>
      <c r="AC72" s="498"/>
    </row>
    <row r="73" spans="18:29" ht="15">
      <c r="R73" s="498"/>
      <c r="S73" s="498"/>
      <c r="T73" s="498"/>
      <c r="U73" s="498"/>
      <c r="V73" s="498"/>
      <c r="W73" s="498"/>
      <c r="X73" s="498"/>
      <c r="Y73" s="498"/>
      <c r="Z73" s="498"/>
      <c r="AA73" s="498"/>
      <c r="AB73" s="498"/>
      <c r="AC73" s="498"/>
    </row>
    <row r="74" spans="18:29" ht="15">
      <c r="R74" s="498"/>
      <c r="S74" s="511"/>
      <c r="T74" s="511"/>
      <c r="U74" s="511"/>
      <c r="V74" s="511"/>
      <c r="W74" s="511"/>
      <c r="X74" s="511"/>
      <c r="Y74" s="511"/>
      <c r="Z74" s="511"/>
      <c r="AA74" s="511"/>
      <c r="AB74" s="498"/>
      <c r="AC74" s="498"/>
    </row>
    <row r="75" spans="18:29" ht="15">
      <c r="R75" s="498"/>
      <c r="S75" s="498"/>
      <c r="T75" s="498"/>
      <c r="U75" s="498"/>
      <c r="V75" s="498"/>
      <c r="W75" s="498"/>
      <c r="X75" s="498"/>
      <c r="Y75" s="498"/>
      <c r="Z75" s="498"/>
      <c r="AA75" s="498"/>
      <c r="AB75" s="498"/>
      <c r="AC75" s="498"/>
    </row>
    <row r="76" spans="18:29" ht="15">
      <c r="R76" s="498"/>
      <c r="S76" s="498"/>
      <c r="T76" s="498"/>
      <c r="U76" s="498"/>
      <c r="V76" s="498"/>
      <c r="W76" s="498"/>
      <c r="X76" s="498"/>
      <c r="Y76" s="498"/>
      <c r="Z76" s="498"/>
      <c r="AA76" s="498"/>
      <c r="AB76" s="498"/>
      <c r="AC76" s="498"/>
    </row>
    <row r="77" spans="18:29" ht="15">
      <c r="R77" s="498"/>
      <c r="S77" s="498"/>
      <c r="T77" s="498"/>
      <c r="U77" s="498"/>
      <c r="V77" s="498"/>
      <c r="W77" s="498"/>
      <c r="X77" s="498"/>
      <c r="Y77" s="498"/>
      <c r="Z77" s="498"/>
      <c r="AA77" s="498"/>
      <c r="AB77" s="498"/>
      <c r="AC77" s="498"/>
    </row>
    <row r="78" spans="18:29" ht="15">
      <c r="R78" s="498"/>
      <c r="S78" s="498"/>
      <c r="T78" s="498"/>
      <c r="U78" s="498"/>
      <c r="V78" s="498"/>
      <c r="W78" s="498"/>
      <c r="X78" s="498"/>
      <c r="Y78" s="498"/>
      <c r="Z78" s="498"/>
      <c r="AA78" s="498"/>
      <c r="AB78" s="498"/>
      <c r="AC78" s="498"/>
    </row>
    <row r="79" spans="18:29" ht="15">
      <c r="R79" s="498"/>
      <c r="S79" s="498"/>
      <c r="T79" s="498"/>
      <c r="U79" s="498"/>
      <c r="V79" s="498"/>
      <c r="W79" s="498"/>
      <c r="X79" s="498"/>
      <c r="Y79" s="498"/>
      <c r="Z79" s="498"/>
      <c r="AA79" s="498"/>
      <c r="AB79" s="498"/>
      <c r="AC79" s="498"/>
    </row>
    <row r="80" spans="18:29" ht="15">
      <c r="R80" s="498"/>
      <c r="S80" s="498"/>
      <c r="T80" s="498"/>
      <c r="U80" s="498"/>
      <c r="V80" s="498"/>
      <c r="W80" s="498"/>
      <c r="X80" s="498"/>
      <c r="Y80" s="498"/>
      <c r="Z80" s="498"/>
      <c r="AA80" s="498"/>
      <c r="AB80" s="498"/>
      <c r="AC80" s="498"/>
    </row>
    <row r="81" spans="18:29" ht="15">
      <c r="R81" s="498"/>
      <c r="S81" s="498"/>
      <c r="T81" s="498"/>
      <c r="U81" s="498"/>
      <c r="V81" s="498"/>
      <c r="W81" s="498"/>
      <c r="X81" s="498"/>
      <c r="Y81" s="498"/>
      <c r="Z81" s="498"/>
      <c r="AA81" s="498"/>
      <c r="AB81" s="498"/>
      <c r="AC81" s="498"/>
    </row>
    <row r="82" spans="18:29" ht="15">
      <c r="R82" s="498"/>
      <c r="S82" s="498"/>
      <c r="T82" s="498"/>
      <c r="U82" s="498"/>
      <c r="V82" s="498"/>
      <c r="W82" s="498"/>
      <c r="X82" s="498"/>
      <c r="Y82" s="498"/>
      <c r="Z82" s="498"/>
      <c r="AA82" s="498"/>
      <c r="AB82" s="498"/>
      <c r="AC82" s="498"/>
    </row>
    <row r="83" spans="18:29" ht="15">
      <c r="R83" s="498"/>
      <c r="S83" s="498"/>
      <c r="T83" s="498"/>
      <c r="U83" s="498"/>
      <c r="V83" s="498"/>
      <c r="W83" s="498"/>
      <c r="X83" s="498"/>
      <c r="Y83" s="498"/>
      <c r="Z83" s="498"/>
      <c r="AA83" s="498"/>
      <c r="AB83" s="498"/>
      <c r="AC83" s="498"/>
    </row>
    <row r="84" spans="18:29" ht="15">
      <c r="R84" s="498"/>
      <c r="S84" s="498"/>
      <c r="T84" s="498"/>
      <c r="U84" s="498"/>
      <c r="V84" s="498"/>
      <c r="W84" s="498"/>
      <c r="X84" s="498"/>
      <c r="Y84" s="498"/>
      <c r="Z84" s="498"/>
      <c r="AA84" s="498"/>
      <c r="AB84" s="498"/>
      <c r="AC84" s="498"/>
    </row>
    <row r="85" spans="18:29" ht="15">
      <c r="R85" s="498"/>
      <c r="S85" s="498"/>
      <c r="T85" s="498"/>
      <c r="U85" s="498"/>
      <c r="V85" s="498"/>
      <c r="W85" s="498"/>
      <c r="X85" s="498"/>
      <c r="Y85" s="498"/>
      <c r="Z85" s="498"/>
      <c r="AA85" s="498"/>
      <c r="AB85" s="498"/>
      <c r="AC85" s="498"/>
    </row>
    <row r="86" spans="18:29" ht="15">
      <c r="R86" s="498"/>
      <c r="S86" s="498"/>
      <c r="T86" s="498"/>
      <c r="U86" s="498"/>
      <c r="V86" s="498"/>
      <c r="W86" s="498"/>
      <c r="X86" s="498"/>
      <c r="Y86" s="498"/>
      <c r="Z86" s="498"/>
      <c r="AA86" s="498"/>
      <c r="AB86" s="498"/>
      <c r="AC86" s="498"/>
    </row>
    <row r="87" spans="18:29" ht="15">
      <c r="R87" s="498"/>
      <c r="S87" s="498"/>
      <c r="T87" s="498"/>
      <c r="U87" s="498"/>
      <c r="V87" s="498"/>
      <c r="W87" s="498"/>
      <c r="X87" s="498"/>
      <c r="Y87" s="498"/>
      <c r="Z87" s="498"/>
      <c r="AA87" s="498"/>
      <c r="AB87" s="498"/>
      <c r="AC87" s="498"/>
    </row>
    <row r="88" spans="18:29" ht="15">
      <c r="R88" s="498"/>
      <c r="S88" s="498"/>
      <c r="T88" s="498"/>
      <c r="U88" s="498"/>
      <c r="V88" s="498"/>
      <c r="W88" s="498"/>
      <c r="X88" s="498"/>
      <c r="Y88" s="498"/>
      <c r="Z88" s="498"/>
      <c r="AA88" s="498"/>
      <c r="AB88" s="498"/>
      <c r="AC88" s="498"/>
    </row>
    <row r="89" spans="18:29" ht="15">
      <c r="R89" s="498"/>
      <c r="S89" s="498"/>
      <c r="T89" s="498"/>
      <c r="U89" s="498"/>
      <c r="V89" s="498"/>
      <c r="W89" s="498"/>
      <c r="X89" s="498"/>
      <c r="Y89" s="498"/>
      <c r="Z89" s="498"/>
      <c r="AA89" s="498"/>
      <c r="AB89" s="498"/>
      <c r="AC89" s="498"/>
    </row>
    <row r="90" spans="18:29" ht="15">
      <c r="R90" s="498"/>
      <c r="S90" s="498"/>
      <c r="T90" s="498"/>
      <c r="U90" s="498"/>
      <c r="V90" s="498"/>
      <c r="W90" s="498"/>
      <c r="X90" s="498"/>
      <c r="Y90" s="498"/>
      <c r="Z90" s="498"/>
      <c r="AA90" s="498"/>
      <c r="AB90" s="498"/>
      <c r="AC90" s="498"/>
    </row>
    <row r="91" spans="18:29" ht="15">
      <c r="R91" s="498"/>
      <c r="S91" s="498"/>
      <c r="T91" s="498"/>
      <c r="U91" s="498"/>
      <c r="V91" s="498"/>
      <c r="W91" s="498"/>
      <c r="X91" s="498"/>
      <c r="Y91" s="498"/>
      <c r="Z91" s="498"/>
      <c r="AA91" s="498"/>
      <c r="AB91" s="498"/>
      <c r="AC91" s="498"/>
    </row>
    <row r="92" spans="18:29" ht="15">
      <c r="R92" s="498"/>
      <c r="S92" s="498"/>
      <c r="T92" s="498"/>
      <c r="U92" s="498"/>
      <c r="V92" s="498"/>
      <c r="W92" s="498"/>
      <c r="X92" s="498"/>
      <c r="Y92" s="498"/>
      <c r="Z92" s="498"/>
      <c r="AA92" s="498"/>
      <c r="AB92" s="498"/>
      <c r="AC92" s="498"/>
    </row>
    <row r="93" spans="18:29" ht="15">
      <c r="R93" s="498"/>
      <c r="S93" s="498"/>
      <c r="T93" s="498"/>
      <c r="U93" s="498"/>
      <c r="V93" s="498"/>
      <c r="W93" s="498"/>
      <c r="X93" s="498"/>
      <c r="Y93" s="498"/>
      <c r="Z93" s="498"/>
      <c r="AA93" s="498"/>
      <c r="AB93" s="498"/>
      <c r="AC93" s="498"/>
    </row>
    <row r="94" spans="18:29" ht="15">
      <c r="R94" s="498"/>
      <c r="S94" s="498"/>
      <c r="T94" s="498"/>
      <c r="U94" s="498"/>
      <c r="V94" s="498"/>
      <c r="W94" s="498"/>
      <c r="X94" s="498"/>
      <c r="Y94" s="498"/>
      <c r="Z94" s="498"/>
      <c r="AA94" s="498"/>
      <c r="AB94" s="498"/>
      <c r="AC94" s="498"/>
    </row>
    <row r="95" spans="18:29" ht="15">
      <c r="R95" s="498"/>
      <c r="S95" s="498"/>
      <c r="T95" s="498"/>
      <c r="U95" s="498"/>
      <c r="V95" s="498"/>
      <c r="W95" s="498"/>
      <c r="X95" s="498"/>
      <c r="Y95" s="498"/>
      <c r="Z95" s="498"/>
      <c r="AA95" s="498"/>
      <c r="AB95" s="498"/>
      <c r="AC95" s="498"/>
    </row>
    <row r="96" spans="18:29" ht="15">
      <c r="R96" s="498"/>
      <c r="S96" s="498"/>
      <c r="T96" s="498"/>
      <c r="U96" s="498"/>
      <c r="V96" s="498"/>
      <c r="W96" s="498"/>
      <c r="X96" s="498"/>
      <c r="Y96" s="498"/>
      <c r="Z96" s="498"/>
      <c r="AA96" s="498"/>
      <c r="AB96" s="498"/>
      <c r="AC96" s="498"/>
    </row>
    <row r="97" spans="18:29" ht="15">
      <c r="R97" s="498"/>
      <c r="S97" s="498"/>
      <c r="T97" s="498"/>
      <c r="U97" s="498"/>
      <c r="V97" s="498"/>
      <c r="W97" s="498"/>
      <c r="X97" s="498"/>
      <c r="Y97" s="498"/>
      <c r="Z97" s="498"/>
      <c r="AA97" s="498"/>
      <c r="AB97" s="498"/>
      <c r="AC97" s="498"/>
    </row>
    <row r="98" spans="18:29" ht="15">
      <c r="R98" s="498"/>
      <c r="S98" s="498"/>
      <c r="T98" s="498"/>
      <c r="U98" s="498"/>
      <c r="V98" s="498"/>
      <c r="W98" s="498"/>
      <c r="X98" s="498"/>
      <c r="Y98" s="498"/>
      <c r="Z98" s="498"/>
      <c r="AA98" s="498"/>
      <c r="AB98" s="498"/>
      <c r="AC98" s="498"/>
    </row>
    <row r="99" spans="18:29" ht="15">
      <c r="R99" s="498"/>
      <c r="S99" s="498"/>
      <c r="T99" s="498"/>
      <c r="U99" s="498"/>
      <c r="V99" s="498"/>
      <c r="W99" s="498"/>
      <c r="X99" s="498"/>
      <c r="Y99" s="498"/>
      <c r="Z99" s="498"/>
      <c r="AA99" s="498"/>
      <c r="AB99" s="498"/>
      <c r="AC99" s="498"/>
    </row>
    <row r="100" spans="18:29" ht="15">
      <c r="R100" s="498"/>
      <c r="S100" s="498"/>
      <c r="T100" s="498"/>
      <c r="U100" s="498"/>
      <c r="V100" s="498"/>
      <c r="W100" s="498"/>
      <c r="X100" s="498"/>
      <c r="Y100" s="498"/>
      <c r="Z100" s="498"/>
      <c r="AA100" s="498"/>
      <c r="AB100" s="498"/>
      <c r="AC100" s="498"/>
    </row>
    <row r="101" spans="18:29" ht="15">
      <c r="R101" s="498"/>
      <c r="S101" s="498"/>
      <c r="T101" s="498"/>
      <c r="U101" s="498"/>
      <c r="V101" s="498"/>
      <c r="W101" s="498"/>
      <c r="X101" s="498"/>
      <c r="Y101" s="498"/>
      <c r="Z101" s="498"/>
      <c r="AA101" s="498"/>
      <c r="AB101" s="498"/>
      <c r="AC101" s="498"/>
    </row>
  </sheetData>
  <sheetProtection password="E71A" sheet="1" objects="1" scenarios="1"/>
  <mergeCells count="21">
    <mergeCell ref="B42:J42"/>
    <mergeCell ref="B15:J15"/>
    <mergeCell ref="B16:J16"/>
    <mergeCell ref="B17:J17"/>
    <mergeCell ref="B18:J18"/>
    <mergeCell ref="B13:J13"/>
    <mergeCell ref="B14:J14"/>
    <mergeCell ref="B41:J41"/>
    <mergeCell ref="B30:J30"/>
    <mergeCell ref="B28:J28"/>
    <mergeCell ref="B26:J26"/>
    <mergeCell ref="B11:J11"/>
    <mergeCell ref="B9:J9"/>
    <mergeCell ref="B6:J6"/>
    <mergeCell ref="B10:J10"/>
    <mergeCell ref="B4:J4"/>
    <mergeCell ref="B22:J22"/>
    <mergeCell ref="B1:J1"/>
    <mergeCell ref="B21:J21"/>
    <mergeCell ref="B7:J7"/>
    <mergeCell ref="B8:J8"/>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83" r:id="rId2"/>
  <headerFooter>
    <oddFooter>&amp;L&amp;"Arial Narrow,Gras"&amp;8Ministère de l’Environnement, de la Lutte contre les changements climatiques, de la Faune et des Parcs&amp;R&amp;"Arial Narrow,Normal"&amp;8 2024-03-13</oddFooter>
  </headerFooter>
  <drawing r:id="rId1"/>
</worksheet>
</file>

<file path=xl/worksheets/sheet3.xml><?xml version="1.0" encoding="utf-8"?>
<worksheet xmlns="http://schemas.openxmlformats.org/spreadsheetml/2006/main" xmlns:r="http://schemas.openxmlformats.org/officeDocument/2006/relationships">
  <sheetPr codeName="Feuil1">
    <tabColor rgb="FF1C829A"/>
  </sheetPr>
  <dimension ref="A1:BB226"/>
  <sheetViews>
    <sheetView showGridLines="0" showRowColHeaders="0" showOutlineSymbols="0" zoomScale="115" zoomScaleNormal="115" zoomScaleSheetLayoutView="100" zoomScalePageLayoutView="0" workbookViewId="0" topLeftCell="A1">
      <selection activeCell="H11" sqref="H11:AD11"/>
    </sheetView>
  </sheetViews>
  <sheetFormatPr defaultColWidth="11.421875" defaultRowHeight="12.75"/>
  <cols>
    <col min="1" max="1" width="2.140625" style="0" customWidth="1"/>
    <col min="2" max="2" width="3.421875" style="0" customWidth="1"/>
    <col min="3" max="3" width="0.85546875" style="0" customWidth="1"/>
    <col min="4" max="4" width="3.8515625" style="0" customWidth="1"/>
    <col min="5" max="10" width="3.421875" style="0" customWidth="1"/>
    <col min="11" max="11" width="3.8515625" style="0" customWidth="1"/>
    <col min="12" max="17" width="3.421875" style="0" customWidth="1"/>
    <col min="18" max="18" width="3.140625" style="0" customWidth="1"/>
    <col min="19" max="21" width="3.421875" style="0" customWidth="1"/>
    <col min="22" max="22" width="2.57421875" style="0" customWidth="1"/>
    <col min="23" max="23" width="0.42578125" style="0" customWidth="1"/>
    <col min="24" max="24" width="2.8515625" style="0" customWidth="1"/>
    <col min="25" max="32" width="3.421875" style="0" customWidth="1"/>
    <col min="33" max="33" width="0.42578125" style="0" customWidth="1"/>
    <col min="34" max="34" width="3.57421875" style="0" customWidth="1"/>
    <col min="35" max="42" width="3.421875" style="0" customWidth="1"/>
    <col min="43" max="43" width="4.421875" style="0" customWidth="1"/>
    <col min="44" max="44" width="2.28125" style="0" customWidth="1"/>
    <col min="45" max="53" width="3.421875" style="0" customWidth="1"/>
  </cols>
  <sheetData>
    <row r="1" spans="2:44" ht="12" customHeight="1">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row>
    <row r="2" spans="2:44" ht="64.5" customHeight="1">
      <c r="B2" s="45"/>
      <c r="C2" s="45"/>
      <c r="E2" s="45"/>
      <c r="F2" s="45"/>
      <c r="G2" s="45"/>
      <c r="H2" s="45"/>
      <c r="I2" s="45"/>
      <c r="J2" s="418"/>
      <c r="K2" s="441"/>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row>
    <row r="3" spans="2:44" s="512" customFormat="1" ht="24" customHeight="1">
      <c r="B3" s="592" t="s">
        <v>1002</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row>
    <row r="4" spans="1:45" ht="0.75" customHeight="1" thickBot="1">
      <c r="A4" s="1"/>
      <c r="B4" s="968" t="s">
        <v>171</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c r="AJ4" s="969"/>
      <c r="AK4" s="969"/>
      <c r="AL4" s="969"/>
      <c r="AM4" s="969"/>
      <c r="AN4" s="969"/>
      <c r="AO4" s="969"/>
      <c r="AP4" s="969"/>
      <c r="AQ4" s="969"/>
      <c r="AR4" s="969"/>
      <c r="AS4" s="74"/>
    </row>
    <row r="5" spans="1:46" s="29" customFormat="1" ht="12" customHeight="1" thickBot="1">
      <c r="A5" s="28"/>
      <c r="B5" s="1009" t="s">
        <v>962</v>
      </c>
      <c r="C5" s="650" t="s">
        <v>157</v>
      </c>
      <c r="D5" s="651"/>
      <c r="E5" s="651"/>
      <c r="F5" s="651"/>
      <c r="G5" s="651"/>
      <c r="H5" s="651"/>
      <c r="I5" s="651"/>
      <c r="J5" s="651"/>
      <c r="K5" s="651"/>
      <c r="L5" s="651"/>
      <c r="M5" s="651"/>
      <c r="N5" s="651"/>
      <c r="O5" s="651"/>
      <c r="P5" s="651"/>
      <c r="Q5" s="651"/>
      <c r="R5" s="651"/>
      <c r="S5" s="651"/>
      <c r="T5" s="651"/>
      <c r="U5" s="652"/>
      <c r="V5" s="650" t="s">
        <v>158</v>
      </c>
      <c r="W5" s="651"/>
      <c r="X5" s="651"/>
      <c r="Y5" s="651"/>
      <c r="Z5" s="651"/>
      <c r="AA5" s="651"/>
      <c r="AB5" s="651"/>
      <c r="AC5" s="651"/>
      <c r="AD5" s="651"/>
      <c r="AE5" s="651"/>
      <c r="AF5" s="651"/>
      <c r="AG5" s="651"/>
      <c r="AH5" s="651"/>
      <c r="AI5" s="651"/>
      <c r="AJ5" s="651"/>
      <c r="AK5" s="651"/>
      <c r="AL5" s="651"/>
      <c r="AM5" s="651"/>
      <c r="AN5" s="651"/>
      <c r="AO5" s="651"/>
      <c r="AP5" s="651"/>
      <c r="AQ5" s="651"/>
      <c r="AR5" s="652"/>
      <c r="AS5" s="75"/>
      <c r="AT5" s="76"/>
    </row>
    <row r="6" spans="1:44" s="29" customFormat="1" ht="15.75" customHeight="1">
      <c r="A6" s="28"/>
      <c r="B6" s="965"/>
      <c r="C6" s="644"/>
      <c r="D6" s="645"/>
      <c r="E6" s="645"/>
      <c r="F6" s="645"/>
      <c r="G6" s="645"/>
      <c r="H6" s="645"/>
      <c r="I6" s="645"/>
      <c r="J6" s="645"/>
      <c r="K6" s="645"/>
      <c r="L6" s="645"/>
      <c r="M6" s="645"/>
      <c r="N6" s="645"/>
      <c r="O6" s="645"/>
      <c r="P6" s="645"/>
      <c r="Q6" s="645"/>
      <c r="R6" s="645"/>
      <c r="S6" s="645"/>
      <c r="T6" s="645"/>
      <c r="U6" s="646"/>
      <c r="V6" s="644"/>
      <c r="W6" s="645"/>
      <c r="X6" s="645"/>
      <c r="Y6" s="645"/>
      <c r="Z6" s="645"/>
      <c r="AA6" s="645"/>
      <c r="AB6" s="645"/>
      <c r="AC6" s="645"/>
      <c r="AD6" s="645"/>
      <c r="AE6" s="645"/>
      <c r="AF6" s="645"/>
      <c r="AG6" s="645"/>
      <c r="AH6" s="645"/>
      <c r="AI6" s="645"/>
      <c r="AJ6" s="645"/>
      <c r="AK6" s="645"/>
      <c r="AL6" s="645"/>
      <c r="AM6" s="645"/>
      <c r="AN6" s="645"/>
      <c r="AO6" s="645"/>
      <c r="AP6" s="645"/>
      <c r="AQ6" s="645"/>
      <c r="AR6" s="646"/>
    </row>
    <row r="7" spans="1:46" s="29" customFormat="1" ht="14.25" customHeight="1">
      <c r="A7" s="28"/>
      <c r="B7" s="965"/>
      <c r="C7" s="644"/>
      <c r="D7" s="645"/>
      <c r="E7" s="645"/>
      <c r="F7" s="645"/>
      <c r="G7" s="645"/>
      <c r="H7" s="645"/>
      <c r="I7" s="645"/>
      <c r="J7" s="645"/>
      <c r="K7" s="645"/>
      <c r="L7" s="645"/>
      <c r="M7" s="645"/>
      <c r="N7" s="645"/>
      <c r="O7" s="645"/>
      <c r="P7" s="645"/>
      <c r="Q7" s="645"/>
      <c r="R7" s="645"/>
      <c r="S7" s="645"/>
      <c r="T7" s="645"/>
      <c r="U7" s="646"/>
      <c r="V7" s="644"/>
      <c r="W7" s="645"/>
      <c r="X7" s="645"/>
      <c r="Y7" s="645"/>
      <c r="Z7" s="645"/>
      <c r="AA7" s="645"/>
      <c r="AB7" s="645"/>
      <c r="AC7" s="645"/>
      <c r="AD7" s="645"/>
      <c r="AE7" s="645"/>
      <c r="AF7" s="645"/>
      <c r="AG7" s="645"/>
      <c r="AH7" s="645"/>
      <c r="AI7" s="645"/>
      <c r="AJ7" s="645"/>
      <c r="AK7" s="645"/>
      <c r="AL7" s="645"/>
      <c r="AM7" s="645"/>
      <c r="AN7" s="645"/>
      <c r="AO7" s="645"/>
      <c r="AP7" s="645"/>
      <c r="AQ7" s="645"/>
      <c r="AR7" s="646"/>
      <c r="AT7" s="76"/>
    </row>
    <row r="8" spans="1:51" s="29" customFormat="1" ht="15.75" customHeight="1">
      <c r="A8" s="28"/>
      <c r="B8" s="965"/>
      <c r="C8" s="644"/>
      <c r="D8" s="645"/>
      <c r="E8" s="645"/>
      <c r="F8" s="645"/>
      <c r="G8" s="645"/>
      <c r="H8" s="645"/>
      <c r="I8" s="645"/>
      <c r="J8" s="645"/>
      <c r="K8" s="645"/>
      <c r="L8" s="645"/>
      <c r="M8" s="645"/>
      <c r="N8" s="645"/>
      <c r="O8" s="645"/>
      <c r="P8" s="645"/>
      <c r="Q8" s="645"/>
      <c r="R8" s="645"/>
      <c r="S8" s="645"/>
      <c r="T8" s="645"/>
      <c r="U8" s="646"/>
      <c r="V8" s="644"/>
      <c r="W8" s="645"/>
      <c r="X8" s="645"/>
      <c r="Y8" s="645"/>
      <c r="Z8" s="645"/>
      <c r="AA8" s="645"/>
      <c r="AB8" s="645"/>
      <c r="AC8" s="645"/>
      <c r="AD8" s="645"/>
      <c r="AE8" s="645"/>
      <c r="AF8" s="645"/>
      <c r="AG8" s="645"/>
      <c r="AH8" s="645"/>
      <c r="AI8" s="645"/>
      <c r="AJ8" s="645"/>
      <c r="AK8" s="645"/>
      <c r="AL8" s="645"/>
      <c r="AM8" s="645"/>
      <c r="AN8" s="645"/>
      <c r="AO8" s="645"/>
      <c r="AP8" s="645"/>
      <c r="AQ8" s="645"/>
      <c r="AR8" s="646"/>
      <c r="AT8" s="76"/>
      <c r="AY8" s="430"/>
    </row>
    <row r="9" spans="1:44" s="29" customFormat="1" ht="30" customHeight="1" thickBot="1">
      <c r="A9" s="28"/>
      <c r="B9" s="966"/>
      <c r="C9" s="647"/>
      <c r="D9" s="648"/>
      <c r="E9" s="648"/>
      <c r="F9" s="648"/>
      <c r="G9" s="648"/>
      <c r="H9" s="648"/>
      <c r="I9" s="648"/>
      <c r="J9" s="648"/>
      <c r="K9" s="648"/>
      <c r="L9" s="648"/>
      <c r="M9" s="648"/>
      <c r="N9" s="648"/>
      <c r="O9" s="648"/>
      <c r="P9" s="648"/>
      <c r="Q9" s="648"/>
      <c r="R9" s="648"/>
      <c r="S9" s="648"/>
      <c r="T9" s="648"/>
      <c r="U9" s="649"/>
      <c r="V9" s="647"/>
      <c r="W9" s="648"/>
      <c r="X9" s="648"/>
      <c r="Y9" s="648"/>
      <c r="Z9" s="648"/>
      <c r="AA9" s="648"/>
      <c r="AB9" s="648"/>
      <c r="AC9" s="648"/>
      <c r="AD9" s="648"/>
      <c r="AE9" s="648"/>
      <c r="AF9" s="648"/>
      <c r="AG9" s="648"/>
      <c r="AH9" s="648"/>
      <c r="AI9" s="648"/>
      <c r="AJ9" s="648"/>
      <c r="AK9" s="648"/>
      <c r="AL9" s="648"/>
      <c r="AM9" s="648"/>
      <c r="AN9" s="648"/>
      <c r="AO9" s="648"/>
      <c r="AP9" s="648"/>
      <c r="AQ9" s="648"/>
      <c r="AR9" s="649"/>
    </row>
    <row r="10" spans="1:44" ht="3" customHeight="1">
      <c r="A10" s="1"/>
      <c r="B10" s="608" t="s">
        <v>1147</v>
      </c>
      <c r="C10" s="3"/>
      <c r="D10" s="4"/>
      <c r="E10" s="4"/>
      <c r="F10" s="4"/>
      <c r="G10" s="4"/>
      <c r="H10" s="4"/>
      <c r="I10" s="4"/>
      <c r="J10" s="4"/>
      <c r="K10" s="4"/>
      <c r="L10" s="4"/>
      <c r="M10" s="4"/>
      <c r="N10" s="4"/>
      <c r="O10" s="4"/>
      <c r="P10" s="4"/>
      <c r="Q10" s="27"/>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18"/>
    </row>
    <row r="11" spans="1:44" ht="12.75" customHeight="1">
      <c r="A11" s="1"/>
      <c r="B11" s="609"/>
      <c r="C11" s="5" t="s">
        <v>153</v>
      </c>
      <c r="D11" s="17" t="s">
        <v>999</v>
      </c>
      <c r="E11" s="6"/>
      <c r="F11" s="6"/>
      <c r="G11" s="6"/>
      <c r="H11" s="960"/>
      <c r="I11" s="961"/>
      <c r="J11" s="961"/>
      <c r="K11" s="961"/>
      <c r="L11" s="961"/>
      <c r="M11" s="961"/>
      <c r="N11" s="961"/>
      <c r="O11" s="961"/>
      <c r="P11" s="961"/>
      <c r="Q11" s="961"/>
      <c r="R11" s="961"/>
      <c r="S11" s="961"/>
      <c r="T11" s="961"/>
      <c r="U11" s="961"/>
      <c r="V11" s="961"/>
      <c r="W11" s="961"/>
      <c r="X11" s="961"/>
      <c r="Y11" s="961"/>
      <c r="Z11" s="961"/>
      <c r="AA11" s="961"/>
      <c r="AB11" s="961"/>
      <c r="AC11" s="961"/>
      <c r="AD11" s="962"/>
      <c r="AE11" s="41"/>
      <c r="AF11" s="1"/>
      <c r="AG11" s="1"/>
      <c r="AH11" s="1"/>
      <c r="AI11" s="82"/>
      <c r="AJ11" s="82"/>
      <c r="AK11" s="83"/>
      <c r="AL11" s="971"/>
      <c r="AM11" s="971"/>
      <c r="AN11" s="971"/>
      <c r="AO11" s="971"/>
      <c r="AP11" s="971"/>
      <c r="AQ11" s="971"/>
      <c r="AR11" s="8"/>
    </row>
    <row r="12" spans="1:44" ht="3" customHeight="1">
      <c r="A12" s="1"/>
      <c r="B12" s="609"/>
      <c r="C12" s="5"/>
      <c r="D12" s="17"/>
      <c r="E12" s="6"/>
      <c r="F12" s="6"/>
      <c r="G12" s="6"/>
      <c r="H12" s="82"/>
      <c r="I12" s="82"/>
      <c r="J12" s="82"/>
      <c r="K12" s="82"/>
      <c r="L12" s="82"/>
      <c r="M12" s="82"/>
      <c r="N12" s="82"/>
      <c r="O12" s="82"/>
      <c r="P12" s="82"/>
      <c r="Q12" s="82"/>
      <c r="R12" s="82"/>
      <c r="S12" s="82"/>
      <c r="T12" s="82"/>
      <c r="U12" s="82"/>
      <c r="V12" s="82"/>
      <c r="W12" s="82"/>
      <c r="X12" s="82"/>
      <c r="Y12" s="82"/>
      <c r="Z12" s="82"/>
      <c r="AA12" s="82"/>
      <c r="AB12" s="82"/>
      <c r="AC12" s="82"/>
      <c r="AD12" s="84"/>
      <c r="AR12" s="8"/>
    </row>
    <row r="13" spans="1:44" ht="12.75" customHeight="1">
      <c r="A13" s="1"/>
      <c r="B13" s="609"/>
      <c r="C13" s="5"/>
      <c r="D13" s="17" t="s">
        <v>113</v>
      </c>
      <c r="E13" s="6"/>
      <c r="F13" s="6"/>
      <c r="G13" s="6"/>
      <c r="H13" s="960"/>
      <c r="I13" s="961"/>
      <c r="J13" s="961"/>
      <c r="K13" s="961"/>
      <c r="L13" s="961"/>
      <c r="M13" s="961"/>
      <c r="N13" s="961"/>
      <c r="O13" s="961"/>
      <c r="P13" s="961"/>
      <c r="Q13" s="961"/>
      <c r="R13" s="961"/>
      <c r="S13" s="961"/>
      <c r="T13" s="961"/>
      <c r="U13" s="961"/>
      <c r="V13" s="961"/>
      <c r="W13" s="961"/>
      <c r="X13" s="961"/>
      <c r="Y13" s="961"/>
      <c r="Z13" s="961"/>
      <c r="AA13" s="961"/>
      <c r="AB13" s="961"/>
      <c r="AC13" s="961"/>
      <c r="AD13" s="962"/>
      <c r="AE13" s="41" t="s">
        <v>236</v>
      </c>
      <c r="AF13" s="1"/>
      <c r="AG13" s="1"/>
      <c r="AH13" s="1"/>
      <c r="AI13" s="82"/>
      <c r="AJ13" s="82"/>
      <c r="AK13" s="83"/>
      <c r="AL13" s="724"/>
      <c r="AM13" s="725"/>
      <c r="AN13" s="725"/>
      <c r="AO13" s="725"/>
      <c r="AP13" s="725"/>
      <c r="AQ13" s="726"/>
      <c r="AR13" s="8"/>
    </row>
    <row r="14" spans="1:44" ht="3" customHeight="1">
      <c r="A14" s="1"/>
      <c r="B14" s="609"/>
      <c r="C14" s="5"/>
      <c r="D14" s="17"/>
      <c r="E14" s="6"/>
      <c r="F14" s="6"/>
      <c r="G14" s="6"/>
      <c r="H14" s="7"/>
      <c r="I14" s="7"/>
      <c r="J14" s="7"/>
      <c r="K14" s="7"/>
      <c r="L14" s="7"/>
      <c r="M14" s="7"/>
      <c r="N14" s="7"/>
      <c r="O14" s="7"/>
      <c r="P14" s="7"/>
      <c r="Q14" s="7"/>
      <c r="R14" s="7"/>
      <c r="S14" s="7"/>
      <c r="T14" s="7"/>
      <c r="U14" s="7"/>
      <c r="V14" s="7"/>
      <c r="W14" s="7"/>
      <c r="X14" s="7"/>
      <c r="Y14" s="6"/>
      <c r="Z14" s="6"/>
      <c r="AA14" s="6"/>
      <c r="AB14" s="6"/>
      <c r="AC14" s="13"/>
      <c r="AD14" s="84"/>
      <c r="AE14" s="84"/>
      <c r="AF14" s="84"/>
      <c r="AG14" s="84"/>
      <c r="AH14" s="84"/>
      <c r="AI14" s="11"/>
      <c r="AJ14" s="11"/>
      <c r="AK14" s="11"/>
      <c r="AL14" s="11"/>
      <c r="AM14" s="11"/>
      <c r="AN14" s="11"/>
      <c r="AO14" s="11"/>
      <c r="AP14" s="1"/>
      <c r="AQ14" s="1"/>
      <c r="AR14" s="8"/>
    </row>
    <row r="15" spans="1:44" ht="12.75" customHeight="1">
      <c r="A15" s="1"/>
      <c r="B15" s="609"/>
      <c r="C15" s="10"/>
      <c r="D15" s="17" t="s">
        <v>172</v>
      </c>
      <c r="E15" s="1"/>
      <c r="F15" s="1"/>
      <c r="G15" s="1"/>
      <c r="H15" s="960"/>
      <c r="I15" s="961"/>
      <c r="J15" s="961"/>
      <c r="K15" s="961"/>
      <c r="L15" s="961"/>
      <c r="M15" s="961"/>
      <c r="N15" s="961"/>
      <c r="O15" s="961"/>
      <c r="P15" s="961"/>
      <c r="Q15" s="961"/>
      <c r="R15" s="961"/>
      <c r="S15" s="961"/>
      <c r="T15" s="961"/>
      <c r="U15" s="962"/>
      <c r="V15" s="1"/>
      <c r="W15" s="1"/>
      <c r="X15" s="1"/>
      <c r="Y15" s="94" t="s">
        <v>115</v>
      </c>
      <c r="Z15" s="951"/>
      <c r="AA15" s="952"/>
      <c r="AB15" s="952"/>
      <c r="AC15" s="952"/>
      <c r="AD15" s="953"/>
      <c r="AE15" s="41" t="s">
        <v>181</v>
      </c>
      <c r="AF15" s="1"/>
      <c r="AG15" s="1"/>
      <c r="AH15" s="1"/>
      <c r="AI15" s="82"/>
      <c r="AJ15" s="82"/>
      <c r="AK15" s="83"/>
      <c r="AL15" s="724"/>
      <c r="AM15" s="725"/>
      <c r="AN15" s="725"/>
      <c r="AO15" s="725"/>
      <c r="AP15" s="725"/>
      <c r="AQ15" s="726"/>
      <c r="AR15" s="8"/>
    </row>
    <row r="16" spans="1:44" ht="3" customHeight="1">
      <c r="A16" s="1"/>
      <c r="B16" s="609"/>
      <c r="C16" s="10"/>
      <c r="D16" s="6"/>
      <c r="E16" s="6"/>
      <c r="F16" s="6"/>
      <c r="G16" s="6"/>
      <c r="H16" s="327"/>
      <c r="I16" s="327"/>
      <c r="J16" s="327"/>
      <c r="K16" s="327"/>
      <c r="L16" s="327"/>
      <c r="M16" s="327"/>
      <c r="N16" s="327"/>
      <c r="O16" s="327"/>
      <c r="P16" s="327"/>
      <c r="Q16" s="327"/>
      <c r="R16" s="327"/>
      <c r="S16" s="327"/>
      <c r="T16" s="327"/>
      <c r="U16" s="287"/>
      <c r="V16" s="6"/>
      <c r="W16" s="6"/>
      <c r="X16" s="6"/>
      <c r="Y16" s="83"/>
      <c r="Z16" s="289"/>
      <c r="AA16" s="289"/>
      <c r="AB16" s="289"/>
      <c r="AC16" s="289"/>
      <c r="AD16" s="289"/>
      <c r="AE16" s="7"/>
      <c r="AF16" s="6"/>
      <c r="AG16" s="6"/>
      <c r="AH16" s="6"/>
      <c r="AI16" s="82"/>
      <c r="AJ16" s="82"/>
      <c r="AK16" s="83"/>
      <c r="AL16" s="329"/>
      <c r="AM16" s="329"/>
      <c r="AN16" s="329"/>
      <c r="AO16" s="329"/>
      <c r="AP16" s="329"/>
      <c r="AQ16" s="329"/>
      <c r="AR16" s="8"/>
    </row>
    <row r="17" spans="1:54" ht="12.75" customHeight="1">
      <c r="A17" s="1"/>
      <c r="B17" s="609"/>
      <c r="C17" s="10"/>
      <c r="D17" s="997" t="s">
        <v>1141</v>
      </c>
      <c r="E17" s="998"/>
      <c r="F17" s="998"/>
      <c r="G17" s="998"/>
      <c r="H17" s="998"/>
      <c r="I17" s="998"/>
      <c r="J17" s="998"/>
      <c r="K17" s="998"/>
      <c r="L17" s="998"/>
      <c r="M17" s="998"/>
      <c r="N17" s="998"/>
      <c r="O17" s="998"/>
      <c r="P17" s="998"/>
      <c r="Q17" s="998"/>
      <c r="R17" s="998"/>
      <c r="S17" s="998"/>
      <c r="T17" s="998"/>
      <c r="U17" s="999"/>
      <c r="V17" s="287"/>
      <c r="W17" s="287"/>
      <c r="X17" s="287"/>
      <c r="Y17" s="288"/>
      <c r="Z17" s="289"/>
      <c r="AA17" s="289"/>
      <c r="AB17" s="289"/>
      <c r="AC17" s="289"/>
      <c r="AD17" s="366" t="b">
        <v>1</v>
      </c>
      <c r="AE17" s="328"/>
      <c r="AF17" s="287"/>
      <c r="AG17" s="287"/>
      <c r="AH17" s="287"/>
      <c r="AI17" s="327"/>
      <c r="AJ17" s="327"/>
      <c r="AK17" s="288"/>
      <c r="AL17" s="329"/>
      <c r="AM17" s="329"/>
      <c r="AN17" s="329"/>
      <c r="AO17" s="329"/>
      <c r="AP17" s="329"/>
      <c r="AQ17" s="329"/>
      <c r="AR17" s="8"/>
      <c r="BB17" s="430"/>
    </row>
    <row r="18" spans="1:44" ht="33.75" customHeight="1" thickBot="1">
      <c r="A18" s="1"/>
      <c r="B18" s="610"/>
      <c r="C18" s="14"/>
      <c r="D18" s="616"/>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8"/>
      <c r="AR18" s="8"/>
    </row>
    <row r="19" spans="1:44" ht="3" customHeight="1">
      <c r="A19" s="1"/>
      <c r="B19" s="609" t="s">
        <v>489</v>
      </c>
      <c r="C19" s="10"/>
      <c r="D19" s="90"/>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8"/>
    </row>
    <row r="20" spans="1:44" ht="12.75" customHeight="1">
      <c r="A20" s="1"/>
      <c r="B20" s="945"/>
      <c r="C20" s="10"/>
      <c r="D20" s="17" t="s">
        <v>182</v>
      </c>
      <c r="E20" s="6"/>
      <c r="F20" s="30"/>
      <c r="G20" s="30"/>
      <c r="H20" s="686" t="s">
        <v>189</v>
      </c>
      <c r="I20" s="687"/>
      <c r="J20" s="688"/>
      <c r="L20" s="94" t="s">
        <v>183</v>
      </c>
      <c r="M20" s="748"/>
      <c r="N20" s="947"/>
      <c r="O20" s="947"/>
      <c r="P20" s="947"/>
      <c r="Q20" s="947"/>
      <c r="R20" s="947"/>
      <c r="S20" s="947"/>
      <c r="T20" s="947"/>
      <c r="U20" s="947"/>
      <c r="V20" s="947"/>
      <c r="W20" s="947"/>
      <c r="X20" s="947"/>
      <c r="Y20" s="947"/>
      <c r="Z20" s="749"/>
      <c r="AA20" s="17" t="s">
        <v>187</v>
      </c>
      <c r="AB20" s="30"/>
      <c r="AC20" s="948"/>
      <c r="AD20" s="949"/>
      <c r="AE20" s="949"/>
      <c r="AF20" s="949"/>
      <c r="AG20" s="949"/>
      <c r="AH20" s="949"/>
      <c r="AI20" s="949"/>
      <c r="AJ20" s="949"/>
      <c r="AK20" s="949"/>
      <c r="AL20" s="949"/>
      <c r="AM20" s="949"/>
      <c r="AN20" s="949"/>
      <c r="AO20" s="950"/>
      <c r="AP20" s="748"/>
      <c r="AQ20" s="749"/>
      <c r="AR20" s="8"/>
    </row>
    <row r="21" spans="1:44" ht="3.75" customHeight="1">
      <c r="A21" s="1"/>
      <c r="B21" s="945"/>
      <c r="C21" s="10"/>
      <c r="D21" s="17"/>
      <c r="E21" s="6"/>
      <c r="F21" s="6"/>
      <c r="G21" s="6"/>
      <c r="H21" s="6"/>
      <c r="I21" s="6"/>
      <c r="J21" s="6"/>
      <c r="K21" s="331"/>
      <c r="L21" s="335"/>
      <c r="M21" s="335"/>
      <c r="N21" s="335"/>
      <c r="O21" s="335"/>
      <c r="P21" s="335"/>
      <c r="Q21" s="335"/>
      <c r="R21" s="335"/>
      <c r="S21" s="335"/>
      <c r="T21" s="335"/>
      <c r="U21" s="335"/>
      <c r="V21" s="335"/>
      <c r="W21" s="335"/>
      <c r="X21" s="335"/>
      <c r="Y21" s="335"/>
      <c r="Z21" s="335"/>
      <c r="AA21" s="335"/>
      <c r="AB21" s="335"/>
      <c r="AC21" s="335"/>
      <c r="AD21" s="334"/>
      <c r="AE21" s="331"/>
      <c r="AF21" s="287"/>
      <c r="AG21" s="331"/>
      <c r="AH21" s="331"/>
      <c r="AI21" s="332"/>
      <c r="AJ21" s="332"/>
      <c r="AK21" s="332"/>
      <c r="AL21" s="332"/>
      <c r="AM21" s="332"/>
      <c r="AN21" s="332"/>
      <c r="AO21" s="332"/>
      <c r="AP21" s="367"/>
      <c r="AQ21" s="368"/>
      <c r="AR21" s="8"/>
    </row>
    <row r="22" spans="1:44" ht="12.75" customHeight="1">
      <c r="A22" s="1"/>
      <c r="B22" s="945"/>
      <c r="D22" s="17" t="s">
        <v>111</v>
      </c>
      <c r="E22" s="1"/>
      <c r="F22" s="6"/>
      <c r="G22" s="1"/>
      <c r="H22" s="954"/>
      <c r="I22" s="955"/>
      <c r="J22" s="955"/>
      <c r="K22" s="955"/>
      <c r="L22" s="955"/>
      <c r="M22" s="955"/>
      <c r="N22" s="955"/>
      <c r="O22" s="955"/>
      <c r="P22" s="955"/>
      <c r="Q22" s="955"/>
      <c r="R22" s="955"/>
      <c r="S22" s="955"/>
      <c r="T22" s="955"/>
      <c r="U22" s="955"/>
      <c r="V22" s="955"/>
      <c r="W22" s="955"/>
      <c r="X22" s="955"/>
      <c r="Y22" s="955"/>
      <c r="Z22" s="956"/>
      <c r="AA22" s="17" t="s">
        <v>188</v>
      </c>
      <c r="AB22" s="330"/>
      <c r="AC22" s="970"/>
      <c r="AD22" s="955"/>
      <c r="AE22" s="955"/>
      <c r="AF22" s="955"/>
      <c r="AG22" s="955"/>
      <c r="AH22" s="955"/>
      <c r="AI22" s="955"/>
      <c r="AJ22" s="955"/>
      <c r="AK22" s="955"/>
      <c r="AL22" s="955"/>
      <c r="AM22" s="955"/>
      <c r="AN22" s="955"/>
      <c r="AO22" s="956"/>
      <c r="AP22" s="106"/>
      <c r="AR22" s="8"/>
    </row>
    <row r="23" spans="1:44" ht="3" customHeight="1">
      <c r="A23" s="1"/>
      <c r="B23" s="945"/>
      <c r="C23" s="10"/>
      <c r="D23" s="85"/>
      <c r="E23" s="2"/>
      <c r="F23" s="2"/>
      <c r="G23" s="2"/>
      <c r="H23" s="20"/>
      <c r="I23" s="20"/>
      <c r="J23" s="20"/>
      <c r="K23" s="20"/>
      <c r="L23" s="20"/>
      <c r="M23" s="20"/>
      <c r="N23" s="20"/>
      <c r="O23" s="20"/>
      <c r="P23" s="20"/>
      <c r="Q23" s="20"/>
      <c r="R23" s="20"/>
      <c r="S23" s="20"/>
      <c r="T23" s="20"/>
      <c r="U23" s="20"/>
      <c r="V23" s="20"/>
      <c r="W23" s="20"/>
      <c r="X23" s="20"/>
      <c r="Y23" s="2"/>
      <c r="Z23" s="2"/>
      <c r="AA23" s="2"/>
      <c r="AB23" s="2"/>
      <c r="AC23" s="2"/>
      <c r="AD23" s="85"/>
      <c r="AE23" s="6"/>
      <c r="AF23" s="6"/>
      <c r="AG23" s="6"/>
      <c r="AH23" s="6"/>
      <c r="AI23" s="6"/>
      <c r="AJ23" s="6"/>
      <c r="AK23" s="6"/>
      <c r="AL23" s="6"/>
      <c r="AM23" s="6"/>
      <c r="AN23" s="6"/>
      <c r="AO23" s="6"/>
      <c r="AP23" s="6"/>
      <c r="AR23" s="8"/>
    </row>
    <row r="24" spans="1:44" ht="12.75" customHeight="1">
      <c r="A24" s="1"/>
      <c r="B24" s="945"/>
      <c r="C24" s="10"/>
      <c r="D24" s="17" t="s">
        <v>999</v>
      </c>
      <c r="E24" s="6"/>
      <c r="F24" s="6"/>
      <c r="G24" s="6"/>
      <c r="H24" s="748"/>
      <c r="I24" s="947"/>
      <c r="J24" s="947"/>
      <c r="K24" s="947"/>
      <c r="L24" s="947"/>
      <c r="M24" s="947"/>
      <c r="N24" s="947"/>
      <c r="O24" s="947"/>
      <c r="P24" s="947"/>
      <c r="Q24" s="947"/>
      <c r="R24" s="947"/>
      <c r="S24" s="947"/>
      <c r="T24" s="947"/>
      <c r="U24" s="947"/>
      <c r="V24" s="947"/>
      <c r="W24" s="947"/>
      <c r="X24" s="947"/>
      <c r="Y24" s="947"/>
      <c r="Z24" s="947"/>
      <c r="AA24" s="947"/>
      <c r="AB24" s="947"/>
      <c r="AC24" s="749"/>
      <c r="AD24" s="41" t="s">
        <v>236</v>
      </c>
      <c r="AE24" s="1"/>
      <c r="AF24" s="1"/>
      <c r="AG24" s="1"/>
      <c r="AH24" s="82"/>
      <c r="AI24" s="724"/>
      <c r="AJ24" s="725"/>
      <c r="AK24" s="725"/>
      <c r="AL24" s="725"/>
      <c r="AM24" s="725"/>
      <c r="AN24" s="725"/>
      <c r="AO24" s="726"/>
      <c r="AQ24" s="431" t="s">
        <v>112</v>
      </c>
      <c r="AR24" s="8"/>
    </row>
    <row r="25" spans="1:44" ht="3" customHeight="1">
      <c r="A25" s="1"/>
      <c r="B25" s="945"/>
      <c r="C25" s="10"/>
      <c r="AR25" s="8"/>
    </row>
    <row r="26" spans="1:44" ht="12.75" customHeight="1">
      <c r="A26" s="1"/>
      <c r="B26" s="945"/>
      <c r="C26" s="10"/>
      <c r="D26" s="17" t="s">
        <v>113</v>
      </c>
      <c r="E26" s="6"/>
      <c r="F26" s="6"/>
      <c r="G26" s="6"/>
      <c r="H26" s="748"/>
      <c r="I26" s="947"/>
      <c r="J26" s="947"/>
      <c r="K26" s="947"/>
      <c r="L26" s="947"/>
      <c r="M26" s="947"/>
      <c r="N26" s="947"/>
      <c r="O26" s="947"/>
      <c r="P26" s="947"/>
      <c r="Q26" s="947"/>
      <c r="R26" s="947"/>
      <c r="S26" s="947"/>
      <c r="T26" s="947"/>
      <c r="U26" s="947"/>
      <c r="V26" s="947"/>
      <c r="W26" s="947"/>
      <c r="X26" s="947"/>
      <c r="Y26" s="947"/>
      <c r="Z26" s="947"/>
      <c r="AA26" s="947"/>
      <c r="AB26" s="947"/>
      <c r="AC26" s="749"/>
      <c r="AD26" s="41" t="s">
        <v>114</v>
      </c>
      <c r="AE26" s="1"/>
      <c r="AF26" s="1"/>
      <c r="AG26" s="1"/>
      <c r="AH26" s="1"/>
      <c r="AI26" s="724"/>
      <c r="AJ26" s="725"/>
      <c r="AK26" s="725"/>
      <c r="AL26" s="725"/>
      <c r="AM26" s="725"/>
      <c r="AN26" s="725"/>
      <c r="AO26" s="726"/>
      <c r="AP26" s="1"/>
      <c r="AQ26" s="12"/>
      <c r="AR26" s="8"/>
    </row>
    <row r="27" spans="1:44" ht="3" customHeight="1">
      <c r="A27" s="1"/>
      <c r="B27" s="945"/>
      <c r="C27" s="10"/>
      <c r="D27" s="17"/>
      <c r="E27" s="6"/>
      <c r="F27" s="6"/>
      <c r="G27" s="6"/>
      <c r="H27" s="335"/>
      <c r="I27" s="335"/>
      <c r="J27" s="335"/>
      <c r="K27" s="335"/>
      <c r="L27" s="335"/>
      <c r="M27" s="335"/>
      <c r="N27" s="335"/>
      <c r="O27" s="335"/>
      <c r="P27" s="335"/>
      <c r="Q27" s="335"/>
      <c r="R27" s="335"/>
      <c r="S27" s="335"/>
      <c r="T27" s="335"/>
      <c r="U27" s="335"/>
      <c r="V27" s="335"/>
      <c r="W27" s="335"/>
      <c r="X27" s="335"/>
      <c r="Y27" s="335"/>
      <c r="Z27" s="335"/>
      <c r="AA27" s="335"/>
      <c r="AB27" s="335"/>
      <c r="AC27" s="335"/>
      <c r="AD27" s="334"/>
      <c r="AE27" s="331"/>
      <c r="AF27" s="331"/>
      <c r="AG27" s="331"/>
      <c r="AH27" s="331"/>
      <c r="AI27" s="332"/>
      <c r="AJ27" s="332"/>
      <c r="AK27" s="332"/>
      <c r="AL27" s="332"/>
      <c r="AM27" s="332"/>
      <c r="AN27" s="332"/>
      <c r="AO27" s="332"/>
      <c r="AP27" s="331"/>
      <c r="AQ27" s="338"/>
      <c r="AR27" s="8"/>
    </row>
    <row r="28" spans="1:44" ht="12.75" customHeight="1">
      <c r="A28" s="1"/>
      <c r="B28" s="945"/>
      <c r="C28" s="10"/>
      <c r="D28" s="17" t="s">
        <v>172</v>
      </c>
      <c r="E28" s="1"/>
      <c r="F28" s="1"/>
      <c r="G28" s="1"/>
      <c r="H28" s="960"/>
      <c r="I28" s="961"/>
      <c r="J28" s="961"/>
      <c r="K28" s="961"/>
      <c r="L28" s="961"/>
      <c r="M28" s="961"/>
      <c r="N28" s="961"/>
      <c r="O28" s="961"/>
      <c r="P28" s="961"/>
      <c r="Q28" s="961"/>
      <c r="R28" s="961"/>
      <c r="S28" s="961"/>
      <c r="T28" s="961"/>
      <c r="U28" s="962"/>
      <c r="V28" s="1"/>
      <c r="W28" s="1"/>
      <c r="X28" s="1"/>
      <c r="Y28" s="94" t="s">
        <v>115</v>
      </c>
      <c r="Z28" s="957"/>
      <c r="AA28" s="958"/>
      <c r="AB28" s="958"/>
      <c r="AC28" s="959"/>
      <c r="AD28" s="41" t="s">
        <v>241</v>
      </c>
      <c r="AE28" s="1"/>
      <c r="AF28" s="6"/>
      <c r="AG28" s="1"/>
      <c r="AH28" s="1"/>
      <c r="AI28" s="724"/>
      <c r="AJ28" s="725"/>
      <c r="AK28" s="725"/>
      <c r="AL28" s="725"/>
      <c r="AM28" s="725"/>
      <c r="AN28" s="725"/>
      <c r="AO28" s="726"/>
      <c r="AP28" s="1"/>
      <c r="AQ28" s="1"/>
      <c r="AR28" s="8"/>
    </row>
    <row r="29" spans="1:44" ht="3" customHeight="1">
      <c r="A29" s="1"/>
      <c r="B29" s="945"/>
      <c r="C29" s="10"/>
      <c r="D29" s="17"/>
      <c r="E29" s="1"/>
      <c r="F29" s="1"/>
      <c r="G29" s="1"/>
      <c r="H29" s="9"/>
      <c r="I29" s="9"/>
      <c r="J29" s="9"/>
      <c r="K29" s="9"/>
      <c r="L29" s="9"/>
      <c r="M29" s="9"/>
      <c r="N29" s="9"/>
      <c r="O29" s="9"/>
      <c r="P29" s="9"/>
      <c r="Q29" s="9"/>
      <c r="R29" s="9"/>
      <c r="S29" s="9"/>
      <c r="T29" s="17"/>
      <c r="U29" s="1"/>
      <c r="V29" s="1"/>
      <c r="W29" s="1"/>
      <c r="X29" s="1"/>
      <c r="Y29" s="332"/>
      <c r="Z29" s="332"/>
      <c r="AA29" s="332"/>
      <c r="AB29" s="332"/>
      <c r="AC29" s="332"/>
      <c r="AD29" s="334"/>
      <c r="AE29" s="331"/>
      <c r="AF29" s="287"/>
      <c r="AG29" s="331"/>
      <c r="AH29" s="331"/>
      <c r="AI29" s="332"/>
      <c r="AJ29" s="332"/>
      <c r="AK29" s="332"/>
      <c r="AL29" s="332"/>
      <c r="AM29" s="332"/>
      <c r="AN29" s="332"/>
      <c r="AO29" s="332"/>
      <c r="AP29" s="331"/>
      <c r="AQ29" s="331"/>
      <c r="AR29" s="8"/>
    </row>
    <row r="30" spans="1:44" ht="12.75" customHeight="1">
      <c r="A30" s="1"/>
      <c r="B30" s="945"/>
      <c r="C30" s="10"/>
      <c r="E30" s="1"/>
      <c r="F30" s="1"/>
      <c r="G30" s="1"/>
      <c r="H30" s="335"/>
      <c r="I30" s="335"/>
      <c r="J30" s="335"/>
      <c r="K30" s="335"/>
      <c r="L30" s="335"/>
      <c r="M30" s="335"/>
      <c r="N30" s="335"/>
      <c r="O30" s="335"/>
      <c r="P30" s="335"/>
      <c r="Q30" s="335"/>
      <c r="R30" s="335"/>
      <c r="S30" s="335"/>
      <c r="T30" s="336"/>
      <c r="U30" s="331"/>
      <c r="V30" s="331"/>
      <c r="W30" s="331"/>
      <c r="X30" s="331"/>
      <c r="Y30" s="332"/>
      <c r="Z30" s="332"/>
      <c r="AA30" s="332"/>
      <c r="AB30" s="332"/>
      <c r="AC30" s="332"/>
      <c r="AD30" s="120"/>
      <c r="AE30" s="331"/>
      <c r="AF30" s="287"/>
      <c r="AG30" s="331"/>
      <c r="AH30" s="331"/>
      <c r="AI30" s="332"/>
      <c r="AJ30" s="332"/>
      <c r="AK30" s="332"/>
      <c r="AL30" s="332"/>
      <c r="AM30" s="332"/>
      <c r="AN30" s="332"/>
      <c r="AO30" s="333"/>
      <c r="AP30" s="331"/>
      <c r="AQ30" s="331"/>
      <c r="AR30" s="8"/>
    </row>
    <row r="31" spans="1:44" ht="3" customHeight="1" thickBot="1">
      <c r="A31" s="1"/>
      <c r="B31" s="946"/>
      <c r="C31" s="14"/>
      <c r="D31" s="21"/>
      <c r="E31" s="21"/>
      <c r="F31" s="21"/>
      <c r="G31" s="21"/>
      <c r="H31" s="21"/>
      <c r="I31" s="21"/>
      <c r="J31" s="21"/>
      <c r="K31" s="21"/>
      <c r="L31" s="21"/>
      <c r="M31" s="21"/>
      <c r="N31" s="21"/>
      <c r="O31" s="21"/>
      <c r="P31" s="21"/>
      <c r="Q31" s="22"/>
      <c r="R31" s="21"/>
      <c r="S31" s="21"/>
      <c r="T31" s="21"/>
      <c r="U31" s="21"/>
      <c r="V31" s="21"/>
      <c r="W31" s="21"/>
      <c r="X31" s="2"/>
      <c r="Y31" s="21"/>
      <c r="Z31" s="21"/>
      <c r="AA31" s="21"/>
      <c r="AB31" s="21"/>
      <c r="AC31" s="21"/>
      <c r="AD31" s="86"/>
      <c r="AE31" s="15"/>
      <c r="AF31" s="15"/>
      <c r="AG31" s="15"/>
      <c r="AH31" s="15"/>
      <c r="AI31" s="15"/>
      <c r="AJ31" s="15"/>
      <c r="AK31" s="15"/>
      <c r="AL31" s="15"/>
      <c r="AM31" s="15"/>
      <c r="AN31" s="15"/>
      <c r="AO31" s="15"/>
      <c r="AP31" s="15"/>
      <c r="AQ31" s="15"/>
      <c r="AR31" s="16"/>
    </row>
    <row r="32" spans="1:44" ht="3" customHeight="1">
      <c r="A32" s="1"/>
      <c r="B32" s="609" t="s">
        <v>490</v>
      </c>
      <c r="C32" s="10"/>
      <c r="D32" s="90"/>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18"/>
    </row>
    <row r="33" spans="1:44" ht="12.75" customHeight="1">
      <c r="A33" s="1"/>
      <c r="B33" s="967"/>
      <c r="C33" s="528"/>
      <c r="D33" s="529"/>
      <c r="E33" s="530"/>
      <c r="F33" s="530"/>
      <c r="G33" s="530"/>
      <c r="H33" s="995" t="s">
        <v>957</v>
      </c>
      <c r="I33" s="996"/>
      <c r="J33" s="996"/>
      <c r="K33" s="865"/>
      <c r="L33" s="865"/>
      <c r="M33" s="865"/>
      <c r="N33" s="865"/>
      <c r="O33" s="865"/>
      <c r="P33" s="865"/>
      <c r="Q33" s="865"/>
      <c r="R33" s="865"/>
      <c r="S33" s="865"/>
      <c r="T33" s="865"/>
      <c r="U33" s="865"/>
      <c r="V33" s="865"/>
      <c r="W33" s="865"/>
      <c r="X33" s="865"/>
      <c r="Y33" s="865"/>
      <c r="Z33" s="990"/>
      <c r="AA33" s="6"/>
      <c r="AB33" s="6"/>
      <c r="AC33" s="6"/>
      <c r="AD33" s="6"/>
      <c r="AE33" s="6"/>
      <c r="AF33" s="6"/>
      <c r="AG33" s="6"/>
      <c r="AH33" s="6"/>
      <c r="AI33" s="6"/>
      <c r="AJ33" s="6"/>
      <c r="AK33" s="6"/>
      <c r="AL33" s="6"/>
      <c r="AM33" s="6"/>
      <c r="AN33" s="6"/>
      <c r="AO33" s="94"/>
      <c r="AP33" s="742"/>
      <c r="AQ33" s="742"/>
      <c r="AR33" s="8"/>
    </row>
    <row r="34" spans="1:44" ht="3" customHeight="1">
      <c r="A34" s="1"/>
      <c r="B34" s="609"/>
      <c r="C34" s="10"/>
      <c r="D34" s="1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8"/>
    </row>
    <row r="35" spans="1:44" ht="12.75" customHeight="1">
      <c r="A35" s="23"/>
      <c r="B35" s="945"/>
      <c r="C35" s="10"/>
      <c r="D35" s="17" t="s">
        <v>182</v>
      </c>
      <c r="E35" s="6"/>
      <c r="F35" s="30"/>
      <c r="G35" s="30"/>
      <c r="H35" s="686" t="s">
        <v>189</v>
      </c>
      <c r="I35" s="687"/>
      <c r="J35" s="688"/>
      <c r="K35" s="17"/>
      <c r="L35" s="94" t="s">
        <v>183</v>
      </c>
      <c r="M35" s="748"/>
      <c r="N35" s="947"/>
      <c r="O35" s="947"/>
      <c r="P35" s="947"/>
      <c r="Q35" s="947"/>
      <c r="R35" s="947"/>
      <c r="S35" s="947"/>
      <c r="T35" s="947"/>
      <c r="U35" s="947"/>
      <c r="V35" s="947"/>
      <c r="W35" s="947"/>
      <c r="X35" s="947"/>
      <c r="Y35" s="947"/>
      <c r="Z35" s="749"/>
      <c r="AA35" s="17" t="s">
        <v>187</v>
      </c>
      <c r="AB35" s="30"/>
      <c r="AC35" s="948"/>
      <c r="AD35" s="949"/>
      <c r="AE35" s="949"/>
      <c r="AF35" s="949"/>
      <c r="AG35" s="949"/>
      <c r="AH35" s="949"/>
      <c r="AI35" s="949"/>
      <c r="AJ35" s="949"/>
      <c r="AK35" s="949"/>
      <c r="AL35" s="949"/>
      <c r="AM35" s="949"/>
      <c r="AN35" s="949"/>
      <c r="AO35" s="950"/>
      <c r="AP35" s="748"/>
      <c r="AQ35" s="749"/>
      <c r="AR35" s="8"/>
    </row>
    <row r="36" spans="1:44" ht="3" customHeight="1">
      <c r="A36" s="23"/>
      <c r="B36" s="945"/>
      <c r="C36" s="10"/>
      <c r="D36" s="17"/>
      <c r="E36" s="6"/>
      <c r="F36" s="6"/>
      <c r="G36" s="6"/>
      <c r="H36" s="6"/>
      <c r="I36" s="6"/>
      <c r="J36" s="6"/>
      <c r="K36" s="331"/>
      <c r="L36" s="335"/>
      <c r="M36" s="335"/>
      <c r="N36" s="335"/>
      <c r="O36" s="335"/>
      <c r="P36" s="335"/>
      <c r="Q36" s="335"/>
      <c r="R36" s="335"/>
      <c r="S36" s="335"/>
      <c r="T36" s="335"/>
      <c r="U36" s="335"/>
      <c r="V36" s="335"/>
      <c r="W36" s="335"/>
      <c r="X36" s="335"/>
      <c r="Y36" s="335"/>
      <c r="Z36" s="335"/>
      <c r="AA36" s="335"/>
      <c r="AB36" s="335"/>
      <c r="AC36" s="335"/>
      <c r="AD36" s="334"/>
      <c r="AE36" s="331"/>
      <c r="AF36" s="287"/>
      <c r="AG36" s="331"/>
      <c r="AH36" s="331"/>
      <c r="AI36" s="332"/>
      <c r="AJ36" s="332"/>
      <c r="AK36" s="332"/>
      <c r="AL36" s="332"/>
      <c r="AM36" s="332"/>
      <c r="AN36" s="332"/>
      <c r="AO36" s="332"/>
      <c r="AP36" s="367"/>
      <c r="AQ36" s="368"/>
      <c r="AR36" s="8"/>
    </row>
    <row r="37" spans="1:44" ht="12.75" customHeight="1">
      <c r="A37" s="23"/>
      <c r="B37" s="945"/>
      <c r="D37" s="17" t="s">
        <v>111</v>
      </c>
      <c r="E37" s="1"/>
      <c r="F37" s="6"/>
      <c r="G37" s="1"/>
      <c r="H37" s="954"/>
      <c r="I37" s="955"/>
      <c r="J37" s="955"/>
      <c r="K37" s="955"/>
      <c r="L37" s="955"/>
      <c r="M37" s="955"/>
      <c r="N37" s="955"/>
      <c r="O37" s="955"/>
      <c r="P37" s="955"/>
      <c r="Q37" s="955"/>
      <c r="R37" s="955"/>
      <c r="S37" s="955"/>
      <c r="T37" s="955"/>
      <c r="U37" s="955"/>
      <c r="V37" s="955"/>
      <c r="W37" s="955"/>
      <c r="X37" s="955"/>
      <c r="Y37" s="955"/>
      <c r="Z37" s="956"/>
      <c r="AA37" s="17" t="s">
        <v>188</v>
      </c>
      <c r="AB37" s="330"/>
      <c r="AC37" s="970"/>
      <c r="AD37" s="955"/>
      <c r="AE37" s="955"/>
      <c r="AF37" s="955"/>
      <c r="AG37" s="955"/>
      <c r="AH37" s="955"/>
      <c r="AI37" s="955"/>
      <c r="AJ37" s="955"/>
      <c r="AK37" s="955"/>
      <c r="AL37" s="955"/>
      <c r="AM37" s="955"/>
      <c r="AN37" s="955"/>
      <c r="AO37" s="956"/>
      <c r="AR37" s="8"/>
    </row>
    <row r="38" spans="1:44" ht="3" customHeight="1">
      <c r="A38" s="23"/>
      <c r="B38" s="945"/>
      <c r="C38" s="10"/>
      <c r="D38" s="85"/>
      <c r="E38" s="2"/>
      <c r="F38" s="2"/>
      <c r="G38" s="2"/>
      <c r="H38" s="20"/>
      <c r="I38" s="20"/>
      <c r="J38" s="20"/>
      <c r="K38" s="20"/>
      <c r="L38" s="20"/>
      <c r="M38" s="20"/>
      <c r="N38" s="20"/>
      <c r="O38" s="20"/>
      <c r="P38" s="20"/>
      <c r="Q38" s="20"/>
      <c r="R38" s="20"/>
      <c r="S38" s="20"/>
      <c r="T38" s="20"/>
      <c r="U38" s="20"/>
      <c r="V38" s="20"/>
      <c r="W38" s="20"/>
      <c r="X38" s="20"/>
      <c r="Y38" s="2"/>
      <c r="Z38" s="2"/>
      <c r="AA38" s="2"/>
      <c r="AB38" s="2"/>
      <c r="AC38" s="2"/>
      <c r="AD38" s="85"/>
      <c r="AE38" s="6"/>
      <c r="AF38" s="6"/>
      <c r="AG38" s="6"/>
      <c r="AH38" s="6"/>
      <c r="AI38" s="6"/>
      <c r="AJ38" s="6"/>
      <c r="AK38" s="6"/>
      <c r="AL38" s="6"/>
      <c r="AM38" s="6"/>
      <c r="AN38" s="6"/>
      <c r="AO38" s="6"/>
      <c r="AP38" s="6"/>
      <c r="AR38" s="8"/>
    </row>
    <row r="39" spans="1:45" ht="12.75" customHeight="1">
      <c r="A39" s="23"/>
      <c r="B39" s="945"/>
      <c r="C39" s="10"/>
      <c r="D39" s="17" t="s">
        <v>999</v>
      </c>
      <c r="E39" s="6"/>
      <c r="F39" s="6"/>
      <c r="G39" s="6"/>
      <c r="H39" s="748"/>
      <c r="I39" s="947"/>
      <c r="J39" s="947"/>
      <c r="K39" s="947"/>
      <c r="L39" s="947"/>
      <c r="M39" s="947"/>
      <c r="N39" s="947"/>
      <c r="O39" s="947"/>
      <c r="P39" s="947"/>
      <c r="Q39" s="947"/>
      <c r="R39" s="947"/>
      <c r="S39" s="947"/>
      <c r="T39" s="947"/>
      <c r="U39" s="947"/>
      <c r="V39" s="947"/>
      <c r="W39" s="947"/>
      <c r="X39" s="947"/>
      <c r="Y39" s="947"/>
      <c r="Z39" s="947"/>
      <c r="AA39" s="947"/>
      <c r="AB39" s="947"/>
      <c r="AC39" s="749"/>
      <c r="AD39" s="41" t="s">
        <v>236</v>
      </c>
      <c r="AE39" s="1"/>
      <c r="AF39" s="1"/>
      <c r="AG39" s="1"/>
      <c r="AH39" s="82"/>
      <c r="AI39" s="724"/>
      <c r="AJ39" s="725"/>
      <c r="AK39" s="725"/>
      <c r="AL39" s="725"/>
      <c r="AM39" s="725"/>
      <c r="AN39" s="725"/>
      <c r="AO39" s="726"/>
      <c r="AQ39" s="431" t="s">
        <v>112</v>
      </c>
      <c r="AR39" s="8"/>
      <c r="AS39" s="24"/>
    </row>
    <row r="40" spans="1:44" ht="2.25" customHeight="1">
      <c r="A40" s="1"/>
      <c r="B40" s="945"/>
      <c r="C40" s="10"/>
      <c r="AR40" s="8"/>
    </row>
    <row r="41" spans="1:45" ht="12.75" customHeight="1">
      <c r="A41" s="1"/>
      <c r="B41" s="945"/>
      <c r="C41" s="10"/>
      <c r="D41" s="17" t="s">
        <v>113</v>
      </c>
      <c r="E41" s="6"/>
      <c r="F41" s="6"/>
      <c r="G41" s="6"/>
      <c r="H41" s="748"/>
      <c r="I41" s="947"/>
      <c r="J41" s="947"/>
      <c r="K41" s="947"/>
      <c r="L41" s="947"/>
      <c r="M41" s="947"/>
      <c r="N41" s="947"/>
      <c r="O41" s="947"/>
      <c r="P41" s="947"/>
      <c r="Q41" s="947"/>
      <c r="R41" s="947"/>
      <c r="S41" s="947"/>
      <c r="T41" s="947"/>
      <c r="U41" s="947"/>
      <c r="V41" s="947"/>
      <c r="W41" s="947"/>
      <c r="X41" s="947"/>
      <c r="Y41" s="947"/>
      <c r="Z41" s="947"/>
      <c r="AA41" s="947"/>
      <c r="AB41" s="947"/>
      <c r="AC41" s="749"/>
      <c r="AD41" s="41" t="s">
        <v>114</v>
      </c>
      <c r="AE41" s="1"/>
      <c r="AF41" s="1"/>
      <c r="AG41" s="1"/>
      <c r="AH41" s="1"/>
      <c r="AI41" s="724"/>
      <c r="AJ41" s="725"/>
      <c r="AK41" s="725"/>
      <c r="AL41" s="725"/>
      <c r="AM41" s="725"/>
      <c r="AN41" s="725"/>
      <c r="AO41" s="726"/>
      <c r="AP41" s="1"/>
      <c r="AQ41" s="12"/>
      <c r="AR41" s="8"/>
      <c r="AS41" s="25"/>
    </row>
    <row r="42" spans="1:44" ht="2.25" customHeight="1">
      <c r="A42" s="23"/>
      <c r="B42" s="945"/>
      <c r="C42" s="10"/>
      <c r="D42" s="17"/>
      <c r="E42" s="6"/>
      <c r="F42" s="6"/>
      <c r="G42" s="6"/>
      <c r="H42" s="335"/>
      <c r="I42" s="335"/>
      <c r="J42" s="335"/>
      <c r="K42" s="335"/>
      <c r="L42" s="335"/>
      <c r="M42" s="335"/>
      <c r="N42" s="335"/>
      <c r="O42" s="335"/>
      <c r="P42" s="335"/>
      <c r="Q42" s="335"/>
      <c r="R42" s="335"/>
      <c r="S42" s="335"/>
      <c r="T42" s="335"/>
      <c r="U42" s="335"/>
      <c r="V42" s="335"/>
      <c r="W42" s="335"/>
      <c r="X42" s="335"/>
      <c r="Y42" s="335"/>
      <c r="Z42" s="335"/>
      <c r="AA42" s="335"/>
      <c r="AB42" s="335"/>
      <c r="AC42" s="335"/>
      <c r="AD42" s="334"/>
      <c r="AE42" s="331"/>
      <c r="AF42" s="331"/>
      <c r="AG42" s="331"/>
      <c r="AH42" s="331"/>
      <c r="AI42" s="332"/>
      <c r="AJ42" s="332"/>
      <c r="AK42" s="332"/>
      <c r="AL42" s="332"/>
      <c r="AM42" s="332"/>
      <c r="AN42" s="332"/>
      <c r="AO42" s="332"/>
      <c r="AP42" s="331"/>
      <c r="AQ42" s="338"/>
      <c r="AR42" s="8"/>
    </row>
    <row r="43" spans="1:44" ht="12.75" customHeight="1">
      <c r="A43" s="23"/>
      <c r="B43" s="945"/>
      <c r="C43" s="10"/>
      <c r="D43" s="17" t="s">
        <v>172</v>
      </c>
      <c r="E43" s="1"/>
      <c r="F43" s="1"/>
      <c r="G43" s="1"/>
      <c r="H43" s="960"/>
      <c r="I43" s="961"/>
      <c r="J43" s="961"/>
      <c r="K43" s="961"/>
      <c r="L43" s="961"/>
      <c r="M43" s="961"/>
      <c r="N43" s="961"/>
      <c r="O43" s="961"/>
      <c r="P43" s="961"/>
      <c r="Q43" s="961"/>
      <c r="R43" s="961"/>
      <c r="S43" s="961"/>
      <c r="T43" s="961"/>
      <c r="U43" s="962"/>
      <c r="V43" s="1"/>
      <c r="W43" s="1"/>
      <c r="X43" s="1"/>
      <c r="Y43" s="94" t="s">
        <v>115</v>
      </c>
      <c r="Z43" s="957"/>
      <c r="AA43" s="958"/>
      <c r="AB43" s="958"/>
      <c r="AC43" s="959"/>
      <c r="AD43" s="41" t="s">
        <v>241</v>
      </c>
      <c r="AE43" s="1"/>
      <c r="AF43" s="6"/>
      <c r="AG43" s="1"/>
      <c r="AH43" s="1"/>
      <c r="AI43" s="724"/>
      <c r="AJ43" s="725"/>
      <c r="AK43" s="725"/>
      <c r="AL43" s="725"/>
      <c r="AM43" s="725"/>
      <c r="AN43" s="725"/>
      <c r="AO43" s="726"/>
      <c r="AP43" s="1"/>
      <c r="AQ43" s="1"/>
      <c r="AR43" s="8"/>
    </row>
    <row r="44" spans="1:44" ht="3" customHeight="1" thickBot="1">
      <c r="A44" s="23"/>
      <c r="B44" s="946"/>
      <c r="C44" s="14"/>
      <c r="D44" s="21"/>
      <c r="E44" s="21"/>
      <c r="F44" s="21"/>
      <c r="G44" s="21"/>
      <c r="H44" s="21"/>
      <c r="I44" s="21"/>
      <c r="J44" s="21"/>
      <c r="K44" s="21"/>
      <c r="L44" s="21"/>
      <c r="M44" s="21"/>
      <c r="N44" s="21"/>
      <c r="O44" s="21"/>
      <c r="P44" s="21"/>
      <c r="Q44" s="22"/>
      <c r="R44" s="21"/>
      <c r="S44" s="21"/>
      <c r="T44" s="21"/>
      <c r="U44" s="21"/>
      <c r="V44" s="21"/>
      <c r="W44" s="21"/>
      <c r="X44" s="2"/>
      <c r="Y44" s="21"/>
      <c r="Z44" s="21"/>
      <c r="AA44" s="21"/>
      <c r="AB44" s="21"/>
      <c r="AC44" s="21"/>
      <c r="AD44" s="86"/>
      <c r="AE44" s="15"/>
      <c r="AF44" s="15"/>
      <c r="AG44" s="15"/>
      <c r="AH44" s="15"/>
      <c r="AI44" s="15"/>
      <c r="AJ44" s="15"/>
      <c r="AK44" s="15"/>
      <c r="AL44" s="15"/>
      <c r="AM44" s="15"/>
      <c r="AN44" s="15"/>
      <c r="AO44" s="15"/>
      <c r="AP44" s="15"/>
      <c r="AQ44" s="15"/>
      <c r="AR44" s="16"/>
    </row>
    <row r="45" spans="1:44" ht="4.5" customHeight="1">
      <c r="A45" s="1"/>
      <c r="B45" s="609" t="s">
        <v>30</v>
      </c>
      <c r="C45" s="10"/>
      <c r="D45" s="90"/>
      <c r="E45" s="4"/>
      <c r="F45" s="4"/>
      <c r="G45" s="4"/>
      <c r="H45" s="4"/>
      <c r="I45" s="4"/>
      <c r="J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18"/>
    </row>
    <row r="46" spans="1:44" ht="12.75" customHeight="1">
      <c r="A46" s="23"/>
      <c r="B46" s="945"/>
      <c r="C46" s="10"/>
      <c r="D46" s="17" t="s">
        <v>182</v>
      </c>
      <c r="E46" s="6"/>
      <c r="F46" s="30"/>
      <c r="G46" s="30"/>
      <c r="H46" s="686" t="s">
        <v>189</v>
      </c>
      <c r="I46" s="687"/>
      <c r="J46" s="688"/>
      <c r="K46" s="40"/>
      <c r="L46" s="94" t="s">
        <v>183</v>
      </c>
      <c r="M46" s="748"/>
      <c r="N46" s="947"/>
      <c r="O46" s="947"/>
      <c r="P46" s="947"/>
      <c r="Q46" s="947"/>
      <c r="R46" s="947"/>
      <c r="S46" s="947"/>
      <c r="T46" s="947"/>
      <c r="U46" s="947"/>
      <c r="V46" s="947"/>
      <c r="W46" s="947"/>
      <c r="X46" s="947"/>
      <c r="Y46" s="947"/>
      <c r="Z46" s="749"/>
      <c r="AA46" s="17" t="s">
        <v>187</v>
      </c>
      <c r="AB46" s="30"/>
      <c r="AC46" s="948"/>
      <c r="AD46" s="949"/>
      <c r="AE46" s="949"/>
      <c r="AF46" s="949"/>
      <c r="AG46" s="949"/>
      <c r="AH46" s="949"/>
      <c r="AI46" s="949"/>
      <c r="AJ46" s="949"/>
      <c r="AK46" s="949"/>
      <c r="AL46" s="949"/>
      <c r="AM46" s="949"/>
      <c r="AN46" s="949"/>
      <c r="AO46" s="950"/>
      <c r="AP46" s="748"/>
      <c r="AQ46" s="749"/>
      <c r="AR46" s="8"/>
    </row>
    <row r="47" spans="1:44" ht="3" customHeight="1">
      <c r="A47" s="23"/>
      <c r="B47" s="945"/>
      <c r="C47" s="10"/>
      <c r="D47" s="17"/>
      <c r="E47" s="6"/>
      <c r="F47" s="6"/>
      <c r="G47" s="6"/>
      <c r="H47" s="6"/>
      <c r="I47" s="6"/>
      <c r="J47" s="6"/>
      <c r="K47" s="331"/>
      <c r="L47" s="335"/>
      <c r="M47" s="335"/>
      <c r="N47" s="335"/>
      <c r="O47" s="335"/>
      <c r="P47" s="335"/>
      <c r="Q47" s="335"/>
      <c r="R47" s="335"/>
      <c r="S47" s="335"/>
      <c r="T47" s="335"/>
      <c r="U47" s="335"/>
      <c r="V47" s="335"/>
      <c r="W47" s="335"/>
      <c r="X47" s="335"/>
      <c r="Y47" s="335"/>
      <c r="Z47" s="335"/>
      <c r="AA47" s="335"/>
      <c r="AB47" s="335"/>
      <c r="AC47" s="335"/>
      <c r="AD47" s="334"/>
      <c r="AE47" s="331"/>
      <c r="AF47" s="287"/>
      <c r="AG47" s="331"/>
      <c r="AH47" s="331"/>
      <c r="AI47" s="332"/>
      <c r="AJ47" s="332"/>
      <c r="AK47" s="332"/>
      <c r="AL47" s="332"/>
      <c r="AM47" s="332"/>
      <c r="AN47" s="332"/>
      <c r="AO47" s="332"/>
      <c r="AP47" s="367"/>
      <c r="AQ47" s="368"/>
      <c r="AR47" s="339"/>
    </row>
    <row r="48" spans="1:44" ht="12.75" customHeight="1">
      <c r="A48" s="23"/>
      <c r="B48" s="945"/>
      <c r="D48" s="17" t="s">
        <v>111</v>
      </c>
      <c r="E48" s="1"/>
      <c r="F48" s="6"/>
      <c r="G48" s="1"/>
      <c r="H48" s="954"/>
      <c r="I48" s="955"/>
      <c r="J48" s="955"/>
      <c r="K48" s="955"/>
      <c r="L48" s="955"/>
      <c r="M48" s="955"/>
      <c r="N48" s="955"/>
      <c r="O48" s="955"/>
      <c r="P48" s="955"/>
      <c r="Q48" s="955"/>
      <c r="R48" s="955"/>
      <c r="S48" s="955"/>
      <c r="T48" s="955"/>
      <c r="U48" s="955"/>
      <c r="V48" s="955"/>
      <c r="W48" s="955"/>
      <c r="X48" s="955"/>
      <c r="Y48" s="955"/>
      <c r="Z48" s="956"/>
      <c r="AA48" s="17" t="s">
        <v>188</v>
      </c>
      <c r="AB48" s="330"/>
      <c r="AC48" s="970"/>
      <c r="AD48" s="955"/>
      <c r="AE48" s="955"/>
      <c r="AF48" s="955"/>
      <c r="AG48" s="955"/>
      <c r="AH48" s="955"/>
      <c r="AI48" s="955"/>
      <c r="AJ48" s="955"/>
      <c r="AK48" s="955"/>
      <c r="AL48" s="955"/>
      <c r="AM48" s="955"/>
      <c r="AN48" s="955"/>
      <c r="AO48" s="956"/>
      <c r="AR48" s="8"/>
    </row>
    <row r="49" spans="1:44" ht="3" customHeight="1">
      <c r="A49" s="23"/>
      <c r="B49" s="945"/>
      <c r="C49" s="10"/>
      <c r="D49" s="85"/>
      <c r="E49" s="2"/>
      <c r="F49" s="2"/>
      <c r="G49" s="2"/>
      <c r="H49" s="20"/>
      <c r="I49" s="20"/>
      <c r="J49" s="20"/>
      <c r="K49" s="20"/>
      <c r="L49" s="20"/>
      <c r="M49" s="20"/>
      <c r="N49" s="20"/>
      <c r="O49" s="20"/>
      <c r="P49" s="20"/>
      <c r="Q49" s="20"/>
      <c r="R49" s="20"/>
      <c r="S49" s="20"/>
      <c r="T49" s="20"/>
      <c r="U49" s="20"/>
      <c r="V49" s="20"/>
      <c r="W49" s="20"/>
      <c r="X49" s="20"/>
      <c r="Y49" s="2"/>
      <c r="Z49" s="2"/>
      <c r="AA49" s="2"/>
      <c r="AB49" s="2"/>
      <c r="AC49" s="2"/>
      <c r="AD49" s="85"/>
      <c r="AE49" s="6"/>
      <c r="AF49" s="6"/>
      <c r="AG49" s="6"/>
      <c r="AH49" s="6"/>
      <c r="AI49" s="6"/>
      <c r="AJ49" s="6"/>
      <c r="AK49" s="6"/>
      <c r="AL49" s="6"/>
      <c r="AM49" s="6"/>
      <c r="AN49" s="6"/>
      <c r="AO49" s="6"/>
      <c r="AP49" s="6"/>
      <c r="AR49" s="8"/>
    </row>
    <row r="50" spans="1:45" ht="14.25" customHeight="1">
      <c r="A50" s="23"/>
      <c r="B50" s="945"/>
      <c r="C50" s="10"/>
      <c r="D50" s="17" t="s">
        <v>999</v>
      </c>
      <c r="E50" s="6"/>
      <c r="F50" s="6"/>
      <c r="G50" s="6"/>
      <c r="H50" s="748"/>
      <c r="I50" s="947"/>
      <c r="J50" s="947"/>
      <c r="K50" s="947"/>
      <c r="L50" s="947"/>
      <c r="M50" s="947"/>
      <c r="N50" s="947"/>
      <c r="O50" s="947"/>
      <c r="P50" s="947"/>
      <c r="Q50" s="947"/>
      <c r="R50" s="947"/>
      <c r="S50" s="947"/>
      <c r="T50" s="947"/>
      <c r="U50" s="947"/>
      <c r="V50" s="947"/>
      <c r="W50" s="947"/>
      <c r="X50" s="947"/>
      <c r="Y50" s="947"/>
      <c r="Z50" s="947"/>
      <c r="AA50" s="947"/>
      <c r="AB50" s="947"/>
      <c r="AC50" s="749"/>
      <c r="AD50" s="41" t="s">
        <v>236</v>
      </c>
      <c r="AE50" s="1"/>
      <c r="AF50" s="1"/>
      <c r="AG50" s="1"/>
      <c r="AH50" s="82"/>
      <c r="AI50" s="724"/>
      <c r="AJ50" s="725"/>
      <c r="AK50" s="725"/>
      <c r="AL50" s="725"/>
      <c r="AM50" s="725"/>
      <c r="AN50" s="725"/>
      <c r="AO50" s="726"/>
      <c r="AQ50" s="431" t="s">
        <v>112</v>
      </c>
      <c r="AR50" s="8"/>
      <c r="AS50" s="24"/>
    </row>
    <row r="51" spans="1:44" ht="2.25" customHeight="1">
      <c r="A51" s="1"/>
      <c r="B51" s="945"/>
      <c r="C51" s="10"/>
      <c r="AR51" s="8"/>
    </row>
    <row r="52" spans="1:45" ht="14.25" customHeight="1">
      <c r="A52" s="1"/>
      <c r="B52" s="945"/>
      <c r="C52" s="10"/>
      <c r="D52" s="17" t="s">
        <v>113</v>
      </c>
      <c r="E52" s="6"/>
      <c r="F52" s="6"/>
      <c r="G52" s="6"/>
      <c r="H52" s="748"/>
      <c r="I52" s="947"/>
      <c r="J52" s="947"/>
      <c r="K52" s="947"/>
      <c r="L52" s="947"/>
      <c r="M52" s="947"/>
      <c r="N52" s="947"/>
      <c r="O52" s="947"/>
      <c r="P52" s="947"/>
      <c r="Q52" s="947"/>
      <c r="R52" s="947"/>
      <c r="S52" s="947"/>
      <c r="T52" s="947"/>
      <c r="U52" s="947"/>
      <c r="V52" s="947"/>
      <c r="W52" s="947"/>
      <c r="X52" s="947"/>
      <c r="Y52" s="947"/>
      <c r="Z52" s="947"/>
      <c r="AA52" s="947"/>
      <c r="AB52" s="947"/>
      <c r="AC52" s="749"/>
      <c r="AD52" s="41" t="s">
        <v>114</v>
      </c>
      <c r="AE52" s="1"/>
      <c r="AF52" s="1"/>
      <c r="AG52" s="1"/>
      <c r="AH52" s="1"/>
      <c r="AI52" s="724"/>
      <c r="AJ52" s="725"/>
      <c r="AK52" s="725"/>
      <c r="AL52" s="725"/>
      <c r="AM52" s="725"/>
      <c r="AN52" s="725"/>
      <c r="AO52" s="726"/>
      <c r="AP52" s="1"/>
      <c r="AQ52" s="12"/>
      <c r="AR52" s="8"/>
      <c r="AS52" s="25"/>
    </row>
    <row r="53" spans="1:44" ht="3" customHeight="1">
      <c r="A53" s="23"/>
      <c r="B53" s="945"/>
      <c r="C53" s="10"/>
      <c r="D53" s="17"/>
      <c r="E53" s="6"/>
      <c r="F53" s="6"/>
      <c r="G53" s="6"/>
      <c r="H53" s="335"/>
      <c r="I53" s="335"/>
      <c r="J53" s="335"/>
      <c r="K53" s="335"/>
      <c r="L53" s="335"/>
      <c r="M53" s="335"/>
      <c r="N53" s="335"/>
      <c r="O53" s="335"/>
      <c r="P53" s="335"/>
      <c r="Q53" s="335"/>
      <c r="R53" s="335"/>
      <c r="S53" s="335"/>
      <c r="T53" s="335"/>
      <c r="U53" s="335"/>
      <c r="V53" s="335"/>
      <c r="W53" s="335"/>
      <c r="X53" s="335"/>
      <c r="Y53" s="335"/>
      <c r="Z53" s="335"/>
      <c r="AA53" s="335"/>
      <c r="AB53" s="335"/>
      <c r="AC53" s="335"/>
      <c r="AD53" s="334"/>
      <c r="AE53" s="331"/>
      <c r="AF53" s="331"/>
      <c r="AG53" s="331"/>
      <c r="AH53" s="331"/>
      <c r="AI53" s="332"/>
      <c r="AJ53" s="332"/>
      <c r="AK53" s="332"/>
      <c r="AL53" s="332"/>
      <c r="AM53" s="332"/>
      <c r="AN53" s="332"/>
      <c r="AO53" s="332"/>
      <c r="AP53" s="331"/>
      <c r="AQ53" s="338"/>
      <c r="AR53" s="339"/>
    </row>
    <row r="54" spans="1:44" ht="15.75" customHeight="1">
      <c r="A54" s="23"/>
      <c r="B54" s="945"/>
      <c r="C54" s="10"/>
      <c r="D54" s="17" t="s">
        <v>172</v>
      </c>
      <c r="E54" s="1"/>
      <c r="F54" s="1"/>
      <c r="G54" s="1"/>
      <c r="H54" s="960"/>
      <c r="I54" s="961"/>
      <c r="J54" s="961"/>
      <c r="K54" s="961"/>
      <c r="L54" s="961"/>
      <c r="M54" s="961"/>
      <c r="N54" s="961"/>
      <c r="O54" s="961"/>
      <c r="P54" s="961"/>
      <c r="Q54" s="961"/>
      <c r="R54" s="961"/>
      <c r="S54" s="961"/>
      <c r="T54" s="961"/>
      <c r="U54" s="962"/>
      <c r="V54" s="1"/>
      <c r="W54" s="1"/>
      <c r="X54" s="1"/>
      <c r="Y54" s="94" t="s">
        <v>115</v>
      </c>
      <c r="Z54" s="957"/>
      <c r="AA54" s="958"/>
      <c r="AB54" s="958"/>
      <c r="AC54" s="959"/>
      <c r="AD54" s="41" t="s">
        <v>241</v>
      </c>
      <c r="AE54" s="1"/>
      <c r="AF54" s="6"/>
      <c r="AG54" s="1"/>
      <c r="AH54" s="1"/>
      <c r="AI54" s="724"/>
      <c r="AJ54" s="725"/>
      <c r="AK54" s="725"/>
      <c r="AL54" s="725"/>
      <c r="AM54" s="725"/>
      <c r="AN54" s="725"/>
      <c r="AO54" s="726"/>
      <c r="AP54" s="1"/>
      <c r="AQ54" s="1"/>
      <c r="AR54" s="8"/>
    </row>
    <row r="55" spans="1:44" ht="3" customHeight="1">
      <c r="A55" s="23"/>
      <c r="B55" s="945"/>
      <c r="C55" s="10"/>
      <c r="D55" s="336"/>
      <c r="E55" s="331"/>
      <c r="F55" s="331"/>
      <c r="G55" s="331"/>
      <c r="H55" s="335"/>
      <c r="I55" s="335"/>
      <c r="J55" s="335"/>
      <c r="K55" s="335"/>
      <c r="L55" s="335"/>
      <c r="M55" s="335"/>
      <c r="N55" s="335"/>
      <c r="O55" s="335"/>
      <c r="P55" s="335"/>
      <c r="Q55" s="335"/>
      <c r="R55" s="335"/>
      <c r="S55" s="335"/>
      <c r="T55" s="336"/>
      <c r="U55" s="331"/>
      <c r="V55" s="331"/>
      <c r="W55" s="331"/>
      <c r="X55" s="331"/>
      <c r="Y55" s="332"/>
      <c r="Z55" s="332"/>
      <c r="AA55" s="332"/>
      <c r="AB55" s="332"/>
      <c r="AC55" s="332"/>
      <c r="AD55" s="334"/>
      <c r="AE55" s="331"/>
      <c r="AF55" s="287"/>
      <c r="AG55" s="331"/>
      <c r="AH55" s="331"/>
      <c r="AI55" s="332"/>
      <c r="AJ55" s="332"/>
      <c r="AK55" s="332"/>
      <c r="AL55" s="332"/>
      <c r="AM55" s="332"/>
      <c r="AN55" s="332"/>
      <c r="AO55" s="332"/>
      <c r="AP55" s="331"/>
      <c r="AQ55" s="331"/>
      <c r="AR55" s="8"/>
    </row>
    <row r="56" spans="1:44" ht="12.75" customHeight="1">
      <c r="A56" s="23"/>
      <c r="B56" s="945"/>
      <c r="C56" s="10"/>
      <c r="D56" s="337"/>
      <c r="E56" s="331"/>
      <c r="F56" s="331"/>
      <c r="G56" s="331"/>
      <c r="H56" s="120"/>
      <c r="I56" s="335"/>
      <c r="J56" s="335"/>
      <c r="K56" s="335"/>
      <c r="L56" s="335"/>
      <c r="M56" s="335"/>
      <c r="N56" s="335"/>
      <c r="O56" s="335"/>
      <c r="P56" s="335"/>
      <c r="Q56" s="335"/>
      <c r="R56" s="335"/>
      <c r="S56" s="335"/>
      <c r="T56" s="120"/>
      <c r="U56" s="331"/>
      <c r="V56" s="331"/>
      <c r="W56" s="331"/>
      <c r="X56" s="331"/>
      <c r="Y56" s="332"/>
      <c r="Z56" s="332"/>
      <c r="AA56" s="332"/>
      <c r="AB56" s="332"/>
      <c r="AC56" s="120"/>
      <c r="AD56" s="94" t="s">
        <v>240</v>
      </c>
      <c r="AE56" s="963" t="s">
        <v>189</v>
      </c>
      <c r="AF56" s="963"/>
      <c r="AG56" s="1"/>
      <c r="AH56" s="130"/>
      <c r="AI56" s="724"/>
      <c r="AJ56" s="725"/>
      <c r="AK56" s="725"/>
      <c r="AL56" s="725"/>
      <c r="AM56" s="725"/>
      <c r="AN56" s="725"/>
      <c r="AO56" s="726"/>
      <c r="AP56" s="1"/>
      <c r="AQ56" s="1"/>
      <c r="AR56" s="8"/>
    </row>
    <row r="57" spans="1:44" ht="3" customHeight="1" thickBot="1">
      <c r="A57" s="23"/>
      <c r="B57" s="946"/>
      <c r="C57" s="14"/>
      <c r="D57" s="21"/>
      <c r="E57" s="21"/>
      <c r="F57" s="21"/>
      <c r="G57" s="21"/>
      <c r="H57" s="21"/>
      <c r="I57" s="21"/>
      <c r="J57" s="21"/>
      <c r="K57" s="21"/>
      <c r="L57" s="21"/>
      <c r="M57" s="21"/>
      <c r="N57" s="21"/>
      <c r="O57" s="21"/>
      <c r="P57" s="21"/>
      <c r="Q57" s="22"/>
      <c r="R57" s="21"/>
      <c r="S57" s="21"/>
      <c r="T57" s="21"/>
      <c r="U57" s="21"/>
      <c r="V57" s="21"/>
      <c r="W57" s="21"/>
      <c r="X57" s="2"/>
      <c r="Y57" s="21"/>
      <c r="Z57" s="21"/>
      <c r="AA57" s="21"/>
      <c r="AB57" s="21"/>
      <c r="AC57" s="21"/>
      <c r="AD57" s="86"/>
      <c r="AE57" s="15"/>
      <c r="AF57" s="15"/>
      <c r="AG57" s="15"/>
      <c r="AH57" s="15"/>
      <c r="AI57" s="15"/>
      <c r="AJ57" s="15"/>
      <c r="AK57" s="15"/>
      <c r="AL57" s="15"/>
      <c r="AM57" s="15"/>
      <c r="AN57" s="15"/>
      <c r="AO57" s="15"/>
      <c r="AP57" s="15"/>
      <c r="AQ57" s="15"/>
      <c r="AR57" s="16"/>
    </row>
    <row r="58" spans="1:44" ht="9" customHeight="1">
      <c r="A58" s="1"/>
      <c r="B58" s="609" t="s">
        <v>31</v>
      </c>
      <c r="C58" s="10"/>
      <c r="D58" s="90"/>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18"/>
    </row>
    <row r="59" spans="1:44" ht="12.75" customHeight="1">
      <c r="A59" s="23"/>
      <c r="B59" s="945"/>
      <c r="C59" s="10"/>
      <c r="D59" s="17" t="s">
        <v>182</v>
      </c>
      <c r="E59" s="6"/>
      <c r="F59" s="30"/>
      <c r="G59" s="30"/>
      <c r="H59" s="686" t="s">
        <v>189</v>
      </c>
      <c r="I59" s="687"/>
      <c r="J59" s="688"/>
      <c r="K59" s="17"/>
      <c r="L59" s="94" t="s">
        <v>183</v>
      </c>
      <c r="M59" s="748"/>
      <c r="N59" s="947"/>
      <c r="O59" s="947"/>
      <c r="P59" s="947"/>
      <c r="Q59" s="947"/>
      <c r="R59" s="947"/>
      <c r="S59" s="947"/>
      <c r="T59" s="947"/>
      <c r="U59" s="947"/>
      <c r="V59" s="947"/>
      <c r="W59" s="947"/>
      <c r="X59" s="947"/>
      <c r="Y59" s="947"/>
      <c r="Z59" s="749"/>
      <c r="AA59" s="17" t="s">
        <v>187</v>
      </c>
      <c r="AB59" s="30"/>
      <c r="AC59" s="948"/>
      <c r="AD59" s="949"/>
      <c r="AE59" s="949"/>
      <c r="AF59" s="949"/>
      <c r="AG59" s="949"/>
      <c r="AH59" s="949"/>
      <c r="AI59" s="949"/>
      <c r="AJ59" s="949"/>
      <c r="AK59" s="949"/>
      <c r="AL59" s="949"/>
      <c r="AM59" s="949"/>
      <c r="AN59" s="949"/>
      <c r="AO59" s="950"/>
      <c r="AP59" s="748"/>
      <c r="AQ59" s="749"/>
      <c r="AR59" s="8"/>
    </row>
    <row r="60" spans="1:44" ht="2.25" customHeight="1">
      <c r="A60" s="23"/>
      <c r="B60" s="945"/>
      <c r="C60" s="10"/>
      <c r="D60" s="17"/>
      <c r="E60" s="6"/>
      <c r="F60" s="6"/>
      <c r="G60" s="6"/>
      <c r="H60" s="6"/>
      <c r="I60" s="6"/>
      <c r="J60" s="6"/>
      <c r="K60" s="1"/>
      <c r="L60" s="335"/>
      <c r="M60" s="335"/>
      <c r="N60" s="335"/>
      <c r="O60" s="335"/>
      <c r="P60" s="335"/>
      <c r="Q60" s="335"/>
      <c r="R60" s="335"/>
      <c r="S60" s="335"/>
      <c r="T60" s="335"/>
      <c r="U60" s="335"/>
      <c r="V60" s="335"/>
      <c r="W60" s="335"/>
      <c r="X60" s="335"/>
      <c r="Y60" s="335"/>
      <c r="Z60" s="335"/>
      <c r="AA60" s="335"/>
      <c r="AB60" s="335"/>
      <c r="AC60" s="335"/>
      <c r="AD60" s="334"/>
      <c r="AE60" s="331"/>
      <c r="AF60" s="287"/>
      <c r="AG60" s="331"/>
      <c r="AH60" s="331"/>
      <c r="AI60" s="332"/>
      <c r="AJ60" s="332"/>
      <c r="AK60" s="332"/>
      <c r="AL60" s="332"/>
      <c r="AM60" s="332"/>
      <c r="AN60" s="332"/>
      <c r="AO60" s="332"/>
      <c r="AP60" s="367"/>
      <c r="AQ60" s="368"/>
      <c r="AR60" s="8"/>
    </row>
    <row r="61" spans="1:44" ht="12.75" customHeight="1">
      <c r="A61" s="23"/>
      <c r="B61" s="945"/>
      <c r="D61" s="17" t="s">
        <v>111</v>
      </c>
      <c r="E61" s="1"/>
      <c r="F61" s="6"/>
      <c r="G61" s="1"/>
      <c r="H61" s="954"/>
      <c r="I61" s="955"/>
      <c r="J61" s="955"/>
      <c r="K61" s="955"/>
      <c r="L61" s="955"/>
      <c r="M61" s="955"/>
      <c r="N61" s="955"/>
      <c r="O61" s="955"/>
      <c r="P61" s="955"/>
      <c r="Q61" s="955"/>
      <c r="R61" s="955"/>
      <c r="S61" s="955"/>
      <c r="T61" s="955"/>
      <c r="U61" s="955"/>
      <c r="V61" s="955"/>
      <c r="W61" s="955"/>
      <c r="X61" s="955"/>
      <c r="Y61" s="955"/>
      <c r="Z61" s="956"/>
      <c r="AA61" s="17" t="s">
        <v>188</v>
      </c>
      <c r="AB61" s="330"/>
      <c r="AC61" s="1000"/>
      <c r="AD61" s="955"/>
      <c r="AE61" s="955"/>
      <c r="AF61" s="955"/>
      <c r="AG61" s="955"/>
      <c r="AH61" s="955"/>
      <c r="AI61" s="955"/>
      <c r="AJ61" s="955"/>
      <c r="AK61" s="955"/>
      <c r="AL61" s="955"/>
      <c r="AM61" s="955"/>
      <c r="AN61" s="955"/>
      <c r="AO61" s="956"/>
      <c r="AR61" s="8"/>
    </row>
    <row r="62" spans="1:44" ht="2.25" customHeight="1">
      <c r="A62" s="23"/>
      <c r="B62" s="945"/>
      <c r="C62" s="10"/>
      <c r="D62" s="85"/>
      <c r="E62" s="2"/>
      <c r="F62" s="2"/>
      <c r="G62" s="2"/>
      <c r="H62" s="20"/>
      <c r="I62" s="20"/>
      <c r="J62" s="20"/>
      <c r="K62" s="20"/>
      <c r="L62" s="20"/>
      <c r="M62" s="20"/>
      <c r="N62" s="20"/>
      <c r="O62" s="20"/>
      <c r="P62" s="20"/>
      <c r="Q62" s="20"/>
      <c r="R62" s="20"/>
      <c r="S62" s="20"/>
      <c r="T62" s="20"/>
      <c r="U62" s="20"/>
      <c r="V62" s="20"/>
      <c r="W62" s="20"/>
      <c r="X62" s="20"/>
      <c r="Y62" s="2"/>
      <c r="Z62" s="2"/>
      <c r="AA62" s="2"/>
      <c r="AB62" s="2"/>
      <c r="AC62" s="2"/>
      <c r="AD62" s="85"/>
      <c r="AE62" s="6"/>
      <c r="AF62" s="6"/>
      <c r="AG62" s="6"/>
      <c r="AH62" s="6"/>
      <c r="AI62" s="6"/>
      <c r="AJ62" s="6"/>
      <c r="AK62" s="6"/>
      <c r="AL62" s="6"/>
      <c r="AM62" s="6"/>
      <c r="AN62" s="6"/>
      <c r="AO62" s="6"/>
      <c r="AP62" s="6"/>
      <c r="AR62" s="8"/>
    </row>
    <row r="63" spans="1:45" ht="12.75" customHeight="1">
      <c r="A63" s="23"/>
      <c r="B63" s="945"/>
      <c r="C63" s="10"/>
      <c r="D63" s="17" t="s">
        <v>999</v>
      </c>
      <c r="E63" s="6"/>
      <c r="F63" s="6"/>
      <c r="G63" s="6"/>
      <c r="H63" s="748"/>
      <c r="I63" s="947"/>
      <c r="J63" s="947"/>
      <c r="K63" s="947"/>
      <c r="L63" s="947"/>
      <c r="M63" s="947"/>
      <c r="N63" s="947"/>
      <c r="O63" s="947"/>
      <c r="P63" s="947"/>
      <c r="Q63" s="947"/>
      <c r="R63" s="947"/>
      <c r="S63" s="947"/>
      <c r="T63" s="947"/>
      <c r="U63" s="947"/>
      <c r="V63" s="947"/>
      <c r="W63" s="947"/>
      <c r="X63" s="947"/>
      <c r="Y63" s="947"/>
      <c r="Z63" s="947"/>
      <c r="AA63" s="947"/>
      <c r="AB63" s="947"/>
      <c r="AC63" s="749"/>
      <c r="AD63" s="41" t="s">
        <v>236</v>
      </c>
      <c r="AE63" s="1"/>
      <c r="AF63" s="1"/>
      <c r="AG63" s="1"/>
      <c r="AH63" s="82"/>
      <c r="AI63" s="724"/>
      <c r="AJ63" s="725"/>
      <c r="AK63" s="725"/>
      <c r="AL63" s="725"/>
      <c r="AM63" s="725"/>
      <c r="AN63" s="725"/>
      <c r="AO63" s="726"/>
      <c r="AQ63" s="431" t="s">
        <v>112</v>
      </c>
      <c r="AR63" s="8"/>
      <c r="AS63" s="24"/>
    </row>
    <row r="64" spans="1:44" ht="2.25" customHeight="1">
      <c r="A64" s="1"/>
      <c r="B64" s="945"/>
      <c r="C64" s="10"/>
      <c r="AR64" s="8"/>
    </row>
    <row r="65" spans="1:45" ht="12.75" customHeight="1">
      <c r="A65" s="1"/>
      <c r="B65" s="945"/>
      <c r="C65" s="10"/>
      <c r="D65" s="17" t="s">
        <v>113</v>
      </c>
      <c r="E65" s="6"/>
      <c r="F65" s="6"/>
      <c r="G65" s="6"/>
      <c r="H65" s="748"/>
      <c r="I65" s="947"/>
      <c r="J65" s="947"/>
      <c r="K65" s="947"/>
      <c r="L65" s="947"/>
      <c r="M65" s="947"/>
      <c r="N65" s="947"/>
      <c r="O65" s="947"/>
      <c r="P65" s="947"/>
      <c r="Q65" s="947"/>
      <c r="R65" s="947"/>
      <c r="S65" s="947"/>
      <c r="T65" s="947"/>
      <c r="U65" s="947"/>
      <c r="V65" s="947"/>
      <c r="W65" s="947"/>
      <c r="X65" s="947"/>
      <c r="Y65" s="947"/>
      <c r="Z65" s="947"/>
      <c r="AA65" s="947"/>
      <c r="AB65" s="947"/>
      <c r="AC65" s="749"/>
      <c r="AD65" s="41" t="s">
        <v>114</v>
      </c>
      <c r="AE65" s="1"/>
      <c r="AF65" s="1"/>
      <c r="AG65" s="1"/>
      <c r="AH65" s="1"/>
      <c r="AI65" s="724"/>
      <c r="AJ65" s="725"/>
      <c r="AK65" s="725"/>
      <c r="AL65" s="725"/>
      <c r="AM65" s="725"/>
      <c r="AN65" s="725"/>
      <c r="AO65" s="726"/>
      <c r="AP65" s="1"/>
      <c r="AQ65" s="12"/>
      <c r="AR65" s="8"/>
      <c r="AS65" s="25"/>
    </row>
    <row r="66" spans="1:44" ht="3" customHeight="1">
      <c r="A66" s="23"/>
      <c r="B66" s="945"/>
      <c r="C66" s="10"/>
      <c r="D66" s="17"/>
      <c r="E66" s="6"/>
      <c r="F66" s="6"/>
      <c r="G66" s="6"/>
      <c r="H66" s="335"/>
      <c r="I66" s="335"/>
      <c r="J66" s="335"/>
      <c r="K66" s="335"/>
      <c r="L66" s="335"/>
      <c r="M66" s="335"/>
      <c r="N66" s="335"/>
      <c r="O66" s="335"/>
      <c r="P66" s="335"/>
      <c r="Q66" s="335"/>
      <c r="R66" s="335"/>
      <c r="S66" s="335"/>
      <c r="T66" s="335"/>
      <c r="U66" s="335"/>
      <c r="V66" s="335"/>
      <c r="W66" s="335"/>
      <c r="X66" s="335"/>
      <c r="Y66" s="335"/>
      <c r="Z66" s="335"/>
      <c r="AA66" s="335"/>
      <c r="AB66" s="335"/>
      <c r="AC66" s="335"/>
      <c r="AD66" s="334"/>
      <c r="AE66" s="331"/>
      <c r="AF66" s="331"/>
      <c r="AG66" s="331"/>
      <c r="AH66" s="331"/>
      <c r="AI66" s="332"/>
      <c r="AJ66" s="332"/>
      <c r="AK66" s="332"/>
      <c r="AL66" s="332"/>
      <c r="AM66" s="332"/>
      <c r="AN66" s="332"/>
      <c r="AO66" s="332"/>
      <c r="AP66" s="331"/>
      <c r="AQ66" s="338"/>
      <c r="AR66" s="8"/>
    </row>
    <row r="67" spans="1:44" ht="12.75" customHeight="1">
      <c r="A67" s="23"/>
      <c r="B67" s="945"/>
      <c r="C67" s="10"/>
      <c r="D67" s="17" t="s">
        <v>172</v>
      </c>
      <c r="E67" s="1"/>
      <c r="F67" s="1"/>
      <c r="G67" s="1"/>
      <c r="H67" s="730"/>
      <c r="I67" s="731"/>
      <c r="J67" s="731"/>
      <c r="K67" s="731"/>
      <c r="L67" s="731"/>
      <c r="M67" s="731"/>
      <c r="N67" s="731"/>
      <c r="O67" s="731"/>
      <c r="P67" s="731"/>
      <c r="Q67" s="731"/>
      <c r="R67" s="731"/>
      <c r="S67" s="731"/>
      <c r="T67" s="731"/>
      <c r="U67" s="732"/>
      <c r="W67" s="1"/>
      <c r="X67" s="1"/>
      <c r="Y67" s="94" t="s">
        <v>115</v>
      </c>
      <c r="Z67" s="957"/>
      <c r="AA67" s="958"/>
      <c r="AB67" s="958"/>
      <c r="AC67" s="959"/>
      <c r="AD67" s="41" t="s">
        <v>241</v>
      </c>
      <c r="AE67" s="1"/>
      <c r="AF67" s="6"/>
      <c r="AG67" s="1"/>
      <c r="AH67" s="1"/>
      <c r="AI67" s="724"/>
      <c r="AJ67" s="725"/>
      <c r="AK67" s="725"/>
      <c r="AL67" s="725"/>
      <c r="AM67" s="725"/>
      <c r="AN67" s="725"/>
      <c r="AO67" s="726"/>
      <c r="AP67" s="1"/>
      <c r="AQ67" s="1"/>
      <c r="AR67" s="8"/>
    </row>
    <row r="68" spans="1:44" ht="2.25" customHeight="1">
      <c r="A68" s="23"/>
      <c r="B68" s="945"/>
      <c r="C68" s="121"/>
      <c r="D68" s="336"/>
      <c r="E68" s="331"/>
      <c r="F68" s="331"/>
      <c r="G68" s="331"/>
      <c r="H68" s="335"/>
      <c r="I68" s="335"/>
      <c r="J68" s="335"/>
      <c r="K68" s="335"/>
      <c r="L68" s="335"/>
      <c r="M68" s="335"/>
      <c r="N68" s="335"/>
      <c r="O68" s="335"/>
      <c r="P68" s="335"/>
      <c r="Q68" s="335"/>
      <c r="R68" s="335"/>
      <c r="S68" s="335"/>
      <c r="T68" s="336"/>
      <c r="U68" s="331"/>
      <c r="V68" s="331"/>
      <c r="W68" s="331"/>
      <c r="X68" s="331"/>
      <c r="Y68" s="332"/>
      <c r="Z68" s="332"/>
      <c r="AA68" s="332"/>
      <c r="AB68" s="332"/>
      <c r="AC68" s="332"/>
      <c r="AD68" s="41"/>
      <c r="AE68" s="1"/>
      <c r="AF68" s="6"/>
      <c r="AG68" s="1"/>
      <c r="AH68" s="1"/>
      <c r="AI68" s="332"/>
      <c r="AJ68" s="332"/>
      <c r="AK68" s="332"/>
      <c r="AL68" s="332"/>
      <c r="AM68" s="332"/>
      <c r="AN68" s="332"/>
      <c r="AO68" s="332"/>
      <c r="AP68" s="1"/>
      <c r="AQ68" s="1"/>
      <c r="AR68" s="8"/>
    </row>
    <row r="69" spans="1:44" ht="12.75" customHeight="1">
      <c r="A69" s="23"/>
      <c r="B69" s="945"/>
      <c r="C69" s="121"/>
      <c r="D69" s="336"/>
      <c r="E69" s="331"/>
      <c r="F69" s="331"/>
      <c r="G69" s="331"/>
      <c r="H69" s="335"/>
      <c r="I69" s="335"/>
      <c r="J69" s="335"/>
      <c r="K69" s="335"/>
      <c r="L69" s="335"/>
      <c r="M69" s="335"/>
      <c r="N69" s="335"/>
      <c r="O69" s="335"/>
      <c r="P69" s="335"/>
      <c r="Q69" s="335"/>
      <c r="R69" s="335"/>
      <c r="S69" s="335"/>
      <c r="T69" s="336"/>
      <c r="U69" s="331"/>
      <c r="V69" s="331"/>
      <c r="W69" s="331"/>
      <c r="X69" s="331"/>
      <c r="Y69" s="332"/>
      <c r="Z69" s="332"/>
      <c r="AA69" s="332"/>
      <c r="AB69" s="332"/>
      <c r="AC69" s="120"/>
      <c r="AD69" s="94" t="s">
        <v>240</v>
      </c>
      <c r="AE69" s="963" t="s">
        <v>189</v>
      </c>
      <c r="AF69" s="963"/>
      <c r="AG69" s="1"/>
      <c r="AH69" s="130"/>
      <c r="AI69" s="724"/>
      <c r="AJ69" s="725"/>
      <c r="AK69" s="725"/>
      <c r="AL69" s="725"/>
      <c r="AM69" s="725"/>
      <c r="AN69" s="725"/>
      <c r="AO69" s="726"/>
      <c r="AP69" s="1"/>
      <c r="AQ69" s="1"/>
      <c r="AR69" s="8"/>
    </row>
    <row r="70" spans="1:44" ht="4.5" customHeight="1" thickBot="1">
      <c r="A70" s="23"/>
      <c r="B70" s="946"/>
      <c r="C70" s="14"/>
      <c r="D70" s="21"/>
      <c r="E70" s="21"/>
      <c r="F70" s="21"/>
      <c r="G70" s="21"/>
      <c r="H70" s="21"/>
      <c r="I70" s="21"/>
      <c r="J70" s="21"/>
      <c r="K70" s="21"/>
      <c r="L70" s="21"/>
      <c r="M70" s="21"/>
      <c r="N70" s="21"/>
      <c r="O70" s="21"/>
      <c r="P70" s="21"/>
      <c r="Q70" s="22"/>
      <c r="R70" s="21"/>
      <c r="S70" s="21"/>
      <c r="T70" s="21"/>
      <c r="U70" s="21"/>
      <c r="V70" s="21"/>
      <c r="W70" s="21"/>
      <c r="X70" s="2"/>
      <c r="Y70" s="21"/>
      <c r="Z70" s="21"/>
      <c r="AA70" s="21"/>
      <c r="AB70" s="21"/>
      <c r="AC70" s="21"/>
      <c r="AD70" s="86"/>
      <c r="AE70" s="15"/>
      <c r="AF70" s="15"/>
      <c r="AG70" s="15"/>
      <c r="AH70" s="15"/>
      <c r="AI70" s="15"/>
      <c r="AJ70" s="15"/>
      <c r="AK70" s="15"/>
      <c r="AL70" s="15"/>
      <c r="AM70" s="15"/>
      <c r="AN70" s="15"/>
      <c r="AO70" s="15"/>
      <c r="AP70" s="15"/>
      <c r="AQ70" s="15"/>
      <c r="AR70" s="16"/>
    </row>
    <row r="71" spans="1:44" ht="10.5" customHeight="1">
      <c r="A71" s="1"/>
      <c r="B71" s="608" t="s">
        <v>231</v>
      </c>
      <c r="C71" s="3"/>
      <c r="D71" s="4"/>
      <c r="E71" s="364"/>
      <c r="F71" s="4"/>
      <c r="G71" s="4"/>
      <c r="H71" s="365" t="s">
        <v>963</v>
      </c>
      <c r="I71" s="4"/>
      <c r="J71" s="4"/>
      <c r="K71" s="4"/>
      <c r="L71" s="4"/>
      <c r="M71" s="4"/>
      <c r="N71" s="4"/>
      <c r="O71" s="4"/>
      <c r="P71" s="4"/>
      <c r="Q71" s="4"/>
      <c r="R71" s="4"/>
      <c r="S71" s="4"/>
      <c r="T71" s="4"/>
      <c r="U71" s="4"/>
      <c r="V71" s="4"/>
      <c r="W71" s="4"/>
      <c r="X71" s="27"/>
      <c r="Y71" s="4"/>
      <c r="Z71" s="4"/>
      <c r="AA71" s="4"/>
      <c r="AB71" s="4"/>
      <c r="AC71" s="4"/>
      <c r="AD71" s="4"/>
      <c r="AE71" s="4"/>
      <c r="AF71" s="4"/>
      <c r="AG71" s="4"/>
      <c r="AH71" s="4"/>
      <c r="AI71" s="4"/>
      <c r="AJ71" s="4"/>
      <c r="AK71" s="4"/>
      <c r="AL71" s="4"/>
      <c r="AM71" s="4"/>
      <c r="AN71" s="4"/>
      <c r="AO71" s="4"/>
      <c r="AP71" s="4"/>
      <c r="AQ71" s="4"/>
      <c r="AR71" s="18"/>
    </row>
    <row r="72" spans="1:44" ht="12.75">
      <c r="A72" s="1"/>
      <c r="B72" s="609"/>
      <c r="C72" s="5">
        <v>0</v>
      </c>
      <c r="D72" s="17" t="s">
        <v>964</v>
      </c>
      <c r="E72" s="6"/>
      <c r="F72" s="6"/>
      <c r="G72" s="6"/>
      <c r="H72" s="748"/>
      <c r="I72" s="947"/>
      <c r="J72" s="947"/>
      <c r="K72" s="947"/>
      <c r="L72" s="947"/>
      <c r="M72" s="947"/>
      <c r="N72" s="947"/>
      <c r="O72" s="947"/>
      <c r="P72" s="947"/>
      <c r="Q72" s="947"/>
      <c r="R72" s="947"/>
      <c r="S72" s="947"/>
      <c r="T72" s="947"/>
      <c r="U72" s="947"/>
      <c r="V72" s="947"/>
      <c r="W72" s="947"/>
      <c r="X72" s="947"/>
      <c r="Y72" s="947"/>
      <c r="Z72" s="947"/>
      <c r="AA72" s="947"/>
      <c r="AB72" s="947"/>
      <c r="AC72" s="749"/>
      <c r="AD72" s="41" t="s">
        <v>236</v>
      </c>
      <c r="AE72" s="17"/>
      <c r="AF72" s="17"/>
      <c r="AG72" s="17"/>
      <c r="AH72" s="40"/>
      <c r="AI72" s="724"/>
      <c r="AJ72" s="725"/>
      <c r="AK72" s="725"/>
      <c r="AL72" s="725"/>
      <c r="AM72" s="725"/>
      <c r="AN72" s="725"/>
      <c r="AO72" s="726"/>
      <c r="AP72" s="6"/>
      <c r="AQ72" s="989"/>
      <c r="AR72" s="8"/>
    </row>
    <row r="73" spans="1:44" ht="2.25" customHeight="1">
      <c r="A73" s="1"/>
      <c r="B73" s="609"/>
      <c r="C73" s="5"/>
      <c r="D73" s="70"/>
      <c r="E73" s="6"/>
      <c r="F73" s="6"/>
      <c r="G73" s="6"/>
      <c r="H73" s="9"/>
      <c r="I73" s="9"/>
      <c r="J73" s="9"/>
      <c r="K73" s="9"/>
      <c r="L73" s="9"/>
      <c r="M73" s="9"/>
      <c r="N73" s="9"/>
      <c r="O73" s="9"/>
      <c r="P73" s="19"/>
      <c r="Q73" s="19"/>
      <c r="R73" s="19"/>
      <c r="S73" s="19"/>
      <c r="T73" s="19"/>
      <c r="U73" s="19"/>
      <c r="V73" s="19"/>
      <c r="W73" s="19"/>
      <c r="X73" s="19"/>
      <c r="Y73" s="19"/>
      <c r="Z73" s="19"/>
      <c r="AA73" s="19"/>
      <c r="AB73" s="19"/>
      <c r="AC73" s="19"/>
      <c r="AD73" s="95"/>
      <c r="AE73" s="95"/>
      <c r="AF73" s="95"/>
      <c r="AG73" s="95"/>
      <c r="AH73" s="95"/>
      <c r="AI73" s="19"/>
      <c r="AJ73" s="19"/>
      <c r="AK73" s="19"/>
      <c r="AL73" s="19"/>
      <c r="AM73" s="19"/>
      <c r="AN73" s="19"/>
      <c r="AO73" s="19"/>
      <c r="AP73" s="6"/>
      <c r="AQ73" s="989"/>
      <c r="AR73" s="8"/>
    </row>
    <row r="74" spans="1:44" ht="12.75">
      <c r="A74" s="1"/>
      <c r="B74" s="609"/>
      <c r="C74" s="10"/>
      <c r="D74" s="17" t="s">
        <v>113</v>
      </c>
      <c r="E74" s="6"/>
      <c r="F74" s="6"/>
      <c r="G74" s="6"/>
      <c r="H74" s="748"/>
      <c r="I74" s="947"/>
      <c r="J74" s="947"/>
      <c r="K74" s="947"/>
      <c r="L74" s="947"/>
      <c r="M74" s="947"/>
      <c r="N74" s="947"/>
      <c r="O74" s="947"/>
      <c r="P74" s="947"/>
      <c r="Q74" s="947"/>
      <c r="R74" s="947"/>
      <c r="S74" s="947"/>
      <c r="T74" s="947"/>
      <c r="U74" s="947"/>
      <c r="V74" s="947"/>
      <c r="W74" s="947"/>
      <c r="X74" s="947"/>
      <c r="Y74" s="947"/>
      <c r="Z74" s="947"/>
      <c r="AA74" s="947"/>
      <c r="AB74" s="947"/>
      <c r="AC74" s="749"/>
      <c r="AD74" s="41" t="s">
        <v>161</v>
      </c>
      <c r="AE74" s="17"/>
      <c r="AF74" s="17"/>
      <c r="AG74" s="17"/>
      <c r="AH74" s="17"/>
      <c r="AI74" s="724"/>
      <c r="AJ74" s="725"/>
      <c r="AK74" s="725"/>
      <c r="AL74" s="725"/>
      <c r="AM74" s="725"/>
      <c r="AN74" s="725"/>
      <c r="AO74" s="726"/>
      <c r="AP74" s="6"/>
      <c r="AQ74" s="338"/>
      <c r="AR74" s="8"/>
    </row>
    <row r="75" spans="1:44" ht="2.25" customHeight="1">
      <c r="A75" s="1"/>
      <c r="B75" s="609"/>
      <c r="C75" s="10"/>
      <c r="D75" s="17"/>
      <c r="E75" s="6"/>
      <c r="F75" s="6"/>
      <c r="G75" s="6"/>
      <c r="H75" s="30"/>
      <c r="I75" s="30"/>
      <c r="J75" s="30"/>
      <c r="K75" s="30"/>
      <c r="L75" s="30"/>
      <c r="M75" s="30"/>
      <c r="N75" s="30"/>
      <c r="O75" s="30"/>
      <c r="P75" s="30"/>
      <c r="Q75" s="30"/>
      <c r="R75" s="30"/>
      <c r="S75" s="30"/>
      <c r="T75" s="30"/>
      <c r="U75" s="30"/>
      <c r="V75" s="30"/>
      <c r="W75" s="30"/>
      <c r="X75" s="30"/>
      <c r="Y75" s="30"/>
      <c r="Z75" s="30"/>
      <c r="AA75" s="30"/>
      <c r="AB75" s="30"/>
      <c r="AC75" s="30"/>
      <c r="AD75" s="30"/>
      <c r="AE75" s="17"/>
      <c r="AF75" s="96"/>
      <c r="AG75" s="96"/>
      <c r="AH75" s="96"/>
      <c r="AI75" s="11"/>
      <c r="AJ75" s="11"/>
      <c r="AK75" s="11"/>
      <c r="AL75" s="11"/>
      <c r="AM75" s="11"/>
      <c r="AN75" s="11"/>
      <c r="AO75" s="11"/>
      <c r="AP75" s="6"/>
      <c r="AQ75" s="6"/>
      <c r="AR75" s="8"/>
    </row>
    <row r="76" spans="1:44" ht="12" customHeight="1">
      <c r="A76" s="1"/>
      <c r="B76" s="609"/>
      <c r="C76" s="10"/>
      <c r="D76" s="17" t="s">
        <v>172</v>
      </c>
      <c r="E76" s="6"/>
      <c r="F76" s="6"/>
      <c r="G76" s="6"/>
      <c r="H76" s="960"/>
      <c r="I76" s="961"/>
      <c r="J76" s="961"/>
      <c r="K76" s="961"/>
      <c r="L76" s="961"/>
      <c r="M76" s="961"/>
      <c r="N76" s="961"/>
      <c r="O76" s="961"/>
      <c r="P76" s="961"/>
      <c r="Q76" s="961"/>
      <c r="R76" s="961"/>
      <c r="S76" s="961"/>
      <c r="T76" s="961"/>
      <c r="U76" s="962"/>
      <c r="V76" s="6"/>
      <c r="W76" s="6"/>
      <c r="X76" s="6"/>
      <c r="Y76" s="94" t="s">
        <v>115</v>
      </c>
      <c r="Z76" s="957"/>
      <c r="AA76" s="958"/>
      <c r="AB76" s="958"/>
      <c r="AC76" s="959"/>
      <c r="AD76" s="41" t="s">
        <v>190</v>
      </c>
      <c r="AE76" s="17"/>
      <c r="AF76" s="17"/>
      <c r="AG76" s="17"/>
      <c r="AH76" s="17"/>
      <c r="AI76" s="730" t="s">
        <v>189</v>
      </c>
      <c r="AJ76" s="731"/>
      <c r="AK76" s="731"/>
      <c r="AL76" s="731"/>
      <c r="AM76" s="731"/>
      <c r="AN76" s="731"/>
      <c r="AO76" s="732"/>
      <c r="AP76" s="6"/>
      <c r="AQ76" s="6"/>
      <c r="AR76" s="8"/>
    </row>
    <row r="77" spans="1:44" ht="3" customHeight="1">
      <c r="A77" s="1"/>
      <c r="B77" s="609"/>
      <c r="C77" s="121"/>
      <c r="D77" s="336"/>
      <c r="E77" s="287"/>
      <c r="F77" s="287"/>
      <c r="G77" s="287"/>
      <c r="H77" s="335"/>
      <c r="I77" s="335"/>
      <c r="J77" s="335"/>
      <c r="K77" s="335"/>
      <c r="L77" s="335"/>
      <c r="M77" s="335"/>
      <c r="N77" s="335"/>
      <c r="O77" s="335"/>
      <c r="P77" s="335"/>
      <c r="Q77" s="335"/>
      <c r="R77" s="335"/>
      <c r="S77" s="335"/>
      <c r="T77" s="336"/>
      <c r="U77" s="287"/>
      <c r="V77" s="287"/>
      <c r="W77" s="287"/>
      <c r="X77" s="287"/>
      <c r="Y77" s="332"/>
      <c r="Z77" s="332"/>
      <c r="AA77" s="332"/>
      <c r="AB77" s="332"/>
      <c r="AC77" s="332"/>
      <c r="AD77" s="334"/>
      <c r="AE77" s="336"/>
      <c r="AF77" s="336"/>
      <c r="AG77" s="336"/>
      <c r="AH77" s="336"/>
      <c r="AI77" s="332"/>
      <c r="AJ77" s="332"/>
      <c r="AK77" s="332"/>
      <c r="AL77" s="332"/>
      <c r="AM77" s="332"/>
      <c r="AN77" s="332"/>
      <c r="AO77" s="274"/>
      <c r="AP77" s="287"/>
      <c r="AQ77" s="287"/>
      <c r="AR77" s="339"/>
    </row>
    <row r="78" spans="1:44" ht="29.25" customHeight="1">
      <c r="A78" s="1"/>
      <c r="B78" s="609"/>
      <c r="C78" s="121"/>
      <c r="D78" s="336"/>
      <c r="E78" s="287"/>
      <c r="F78" s="287"/>
      <c r="G78" s="287"/>
      <c r="H78" s="369" t="b">
        <v>0</v>
      </c>
      <c r="I78" s="274"/>
      <c r="J78" s="274"/>
      <c r="K78" s="274"/>
      <c r="L78" s="274"/>
      <c r="M78" s="274"/>
      <c r="N78" s="274"/>
      <c r="O78" s="274"/>
      <c r="P78" s="274"/>
      <c r="Q78" s="274"/>
      <c r="R78" s="274"/>
      <c r="S78" s="274"/>
      <c r="T78" s="336"/>
      <c r="U78" s="287"/>
      <c r="V78" s="287"/>
      <c r="W78" s="287"/>
      <c r="X78" s="287"/>
      <c r="Y78" s="332"/>
      <c r="Z78" s="991">
        <f>SUMIF(D84:D89,"&lt;&gt;électricité",AA84:AD89)</f>
        <v>0</v>
      </c>
      <c r="AA78" s="991"/>
      <c r="AB78" s="991"/>
      <c r="AC78" s="991"/>
      <c r="AD78" s="334"/>
      <c r="AE78" s="340"/>
      <c r="AF78" s="340"/>
      <c r="AG78" s="340"/>
      <c r="AH78" s="340"/>
      <c r="AI78" s="340"/>
      <c r="AJ78" s="340"/>
      <c r="AK78" s="340"/>
      <c r="AL78" s="340"/>
      <c r="AM78" s="340"/>
      <c r="AN78" s="340"/>
      <c r="AO78" s="340"/>
      <c r="AP78" s="287"/>
      <c r="AQ78" s="287"/>
      <c r="AR78" s="339"/>
    </row>
    <row r="79" spans="1:44" ht="12.75" customHeight="1">
      <c r="A79" s="1"/>
      <c r="B79" s="609"/>
      <c r="C79" s="363"/>
      <c r="D79" s="593" t="s">
        <v>904</v>
      </c>
      <c r="E79" s="594"/>
      <c r="F79" s="594"/>
      <c r="G79" s="594"/>
      <c r="H79" s="594"/>
      <c r="I79" s="594"/>
      <c r="J79" s="594"/>
      <c r="K79" s="594"/>
      <c r="L79" s="594"/>
      <c r="M79" s="594"/>
      <c r="N79" s="594"/>
      <c r="O79" s="594"/>
      <c r="P79" s="594"/>
      <c r="Q79" s="594"/>
      <c r="R79" s="594"/>
      <c r="S79" s="594"/>
      <c r="T79" s="594"/>
      <c r="U79" s="595"/>
      <c r="V79" s="6"/>
      <c r="W79" s="6"/>
      <c r="X79" s="6"/>
      <c r="Y79" s="6"/>
      <c r="Z79" s="6"/>
      <c r="AA79" s="6"/>
      <c r="AB79" s="6"/>
      <c r="AC79" s="6"/>
      <c r="AD79" s="6"/>
      <c r="AE79" s="6"/>
      <c r="AF79" s="6"/>
      <c r="AG79" s="6"/>
      <c r="AH79" s="6"/>
      <c r="AI79" s="6"/>
      <c r="AJ79" s="6"/>
      <c r="AK79" s="6"/>
      <c r="AL79" s="6"/>
      <c r="AM79" s="6"/>
      <c r="AN79" s="6"/>
      <c r="AO79" s="6"/>
      <c r="AP79" s="6"/>
      <c r="AQ79" s="6"/>
      <c r="AR79" s="8"/>
    </row>
    <row r="80" spans="1:44" ht="47.25" customHeight="1" thickBot="1">
      <c r="A80" s="1"/>
      <c r="B80" s="610"/>
      <c r="C80" s="68"/>
      <c r="D80" s="616"/>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8"/>
      <c r="AR80" s="69"/>
    </row>
    <row r="81" spans="1:45" ht="18" customHeight="1">
      <c r="A81" s="1"/>
      <c r="B81" s="602" t="s">
        <v>270</v>
      </c>
      <c r="C81" s="118"/>
      <c r="D81" s="733" t="s">
        <v>969</v>
      </c>
      <c r="E81" s="734"/>
      <c r="F81" s="734"/>
      <c r="G81" s="734"/>
      <c r="H81" s="734"/>
      <c r="I81" s="734"/>
      <c r="J81" s="734"/>
      <c r="K81" s="734"/>
      <c r="L81" s="734"/>
      <c r="M81" s="734"/>
      <c r="N81" s="734"/>
      <c r="O81" s="734"/>
      <c r="P81" s="734"/>
      <c r="Q81" s="734"/>
      <c r="R81" s="734"/>
      <c r="S81" s="734"/>
      <c r="T81" s="734"/>
      <c r="U81" s="734"/>
      <c r="V81" s="734"/>
      <c r="W81" s="734"/>
      <c r="X81" s="734"/>
      <c r="Y81" s="734"/>
      <c r="Z81" s="734"/>
      <c r="AA81" s="734"/>
      <c r="AB81" s="734"/>
      <c r="AC81" s="734"/>
      <c r="AD81" s="734"/>
      <c r="AE81" s="734"/>
      <c r="AF81" s="734"/>
      <c r="AG81" s="734"/>
      <c r="AH81" s="734"/>
      <c r="AI81" s="734"/>
      <c r="AJ81" s="734"/>
      <c r="AK81" s="734"/>
      <c r="AL81" s="734"/>
      <c r="AM81" s="734"/>
      <c r="AN81" s="734"/>
      <c r="AO81" s="734"/>
      <c r="AP81" s="734"/>
      <c r="AQ81" s="734"/>
      <c r="AR81" s="119"/>
      <c r="AS81" s="120"/>
    </row>
    <row r="82" spans="1:45" ht="13.5" customHeight="1">
      <c r="A82" s="1"/>
      <c r="B82" s="603"/>
      <c r="C82" s="121"/>
      <c r="D82" s="864" t="s">
        <v>960</v>
      </c>
      <c r="E82" s="865"/>
      <c r="F82" s="865"/>
      <c r="G82" s="865"/>
      <c r="H82" s="865"/>
      <c r="I82" s="865"/>
      <c r="J82" s="865"/>
      <c r="K82" s="865"/>
      <c r="L82" s="865"/>
      <c r="M82" s="865"/>
      <c r="N82" s="865"/>
      <c r="O82" s="865"/>
      <c r="P82" s="865"/>
      <c r="Q82" s="865"/>
      <c r="R82" s="865"/>
      <c r="S82" s="865"/>
      <c r="T82" s="865"/>
      <c r="U82" s="990"/>
      <c r="V82" s="933" t="s">
        <v>965</v>
      </c>
      <c r="W82" s="933"/>
      <c r="X82" s="933"/>
      <c r="Y82" s="933"/>
      <c r="Z82" s="934"/>
      <c r="AA82" s="941" t="s">
        <v>117</v>
      </c>
      <c r="AB82" s="942"/>
      <c r="AC82" s="942"/>
      <c r="AD82" s="943"/>
      <c r="AE82" s="745"/>
      <c r="AF82" s="746"/>
      <c r="AG82" s="746"/>
      <c r="AH82" s="746"/>
      <c r="AI82" s="746"/>
      <c r="AJ82" s="899" t="s">
        <v>118</v>
      </c>
      <c r="AK82" s="900"/>
      <c r="AL82" s="900"/>
      <c r="AM82" s="901"/>
      <c r="AN82" s="745"/>
      <c r="AO82" s="746"/>
      <c r="AP82" s="746"/>
      <c r="AQ82" s="747"/>
      <c r="AR82" s="122"/>
      <c r="AS82" s="120"/>
    </row>
    <row r="83" spans="1:45" ht="12.75" customHeight="1">
      <c r="A83" s="1"/>
      <c r="B83" s="603"/>
      <c r="C83" s="313" t="s">
        <v>729</v>
      </c>
      <c r="D83" s="992" t="s">
        <v>272</v>
      </c>
      <c r="E83" s="993"/>
      <c r="F83" s="993"/>
      <c r="G83" s="993"/>
      <c r="H83" s="993"/>
      <c r="I83" s="994"/>
      <c r="J83" s="750" t="s">
        <v>119</v>
      </c>
      <c r="K83" s="751"/>
      <c r="L83" s="751"/>
      <c r="M83" s="752"/>
      <c r="N83" s="750" t="s">
        <v>263</v>
      </c>
      <c r="O83" s="751"/>
      <c r="P83" s="751"/>
      <c r="Q83" s="752"/>
      <c r="R83" s="750" t="s">
        <v>264</v>
      </c>
      <c r="S83" s="751"/>
      <c r="T83" s="751"/>
      <c r="U83" s="752"/>
      <c r="V83" s="750" t="s">
        <v>822</v>
      </c>
      <c r="W83" s="751"/>
      <c r="X83" s="751"/>
      <c r="Y83" s="751"/>
      <c r="Z83" s="752"/>
      <c r="AA83" s="750" t="s">
        <v>922</v>
      </c>
      <c r="AB83" s="751"/>
      <c r="AC83" s="751"/>
      <c r="AD83" s="752"/>
      <c r="AE83" s="750" t="s">
        <v>923</v>
      </c>
      <c r="AF83" s="751"/>
      <c r="AG83" s="751"/>
      <c r="AH83" s="751"/>
      <c r="AI83" s="752"/>
      <c r="AJ83" s="750" t="s">
        <v>268</v>
      </c>
      <c r="AK83" s="751"/>
      <c r="AL83" s="751"/>
      <c r="AM83" s="752"/>
      <c r="AN83" s="750" t="s">
        <v>995</v>
      </c>
      <c r="AO83" s="751"/>
      <c r="AP83" s="751"/>
      <c r="AQ83" s="752"/>
      <c r="AR83" s="124"/>
      <c r="AS83" s="120"/>
    </row>
    <row r="84" spans="1:45" ht="12.75" customHeight="1">
      <c r="A84" s="1"/>
      <c r="B84" s="603"/>
      <c r="C84" s="121" t="e">
        <f aca="true" ca="1" t="shared" si="0" ref="C84:C89">INDEX(OFFSET(Énergie,,-1,,),MATCH(D84,Énergie,0))</f>
        <v>#N/A</v>
      </c>
      <c r="D84" s="639"/>
      <c r="E84" s="640"/>
      <c r="F84" s="640"/>
      <c r="G84" s="640"/>
      <c r="H84" s="640"/>
      <c r="I84" s="641"/>
      <c r="J84" s="659">
        <f aca="true" ca="1" t="shared" si="1" ref="J84:J89">IF(D84="","",INDEX(OFFSET(Énergie,,1),MATCH(D84,Énergie,0)))</f>
      </c>
      <c r="K84" s="659"/>
      <c r="L84" s="659"/>
      <c r="M84" s="659"/>
      <c r="N84" s="658">
        <v>0</v>
      </c>
      <c r="O84" s="658"/>
      <c r="P84" s="658"/>
      <c r="Q84" s="658"/>
      <c r="R84" s="633">
        <v>0</v>
      </c>
      <c r="S84" s="634"/>
      <c r="T84" s="634"/>
      <c r="U84" s="635"/>
      <c r="V84" s="835">
        <v>0</v>
      </c>
      <c r="W84" s="836"/>
      <c r="X84" s="836"/>
      <c r="Y84" s="836"/>
      <c r="Z84" s="837"/>
      <c r="AA84" s="727">
        <f aca="true" ca="1" t="shared" si="2" ref="AA84:AA89">IF(D84="",0,INDEX(OFFSET(Énergie,,2),MATCH(D84,Énergie,0)))*R84/1000</f>
        <v>0</v>
      </c>
      <c r="AB84" s="728"/>
      <c r="AC84" s="728"/>
      <c r="AD84" s="729"/>
      <c r="AE84" s="727">
        <f aca="true" ca="1" t="shared" si="3" ref="AE84:AE89">IF(D84="",0,INDEX(OFFSET(Énergie,,3),MATCH(D84,Énergie,0)))*R84/1000000</f>
        <v>0</v>
      </c>
      <c r="AF84" s="728"/>
      <c r="AG84" s="728"/>
      <c r="AH84" s="728"/>
      <c r="AI84" s="729"/>
      <c r="AJ84" s="831">
        <f aca="true" t="shared" si="4" ref="AJ84:AJ90">IF(AA84=0,0,V84/AA84)</f>
        <v>0</v>
      </c>
      <c r="AK84" s="832"/>
      <c r="AL84" s="832"/>
      <c r="AM84" s="833"/>
      <c r="AN84" s="636">
        <f>IF(OR(Data!B$56=TRUE,N84=0),0,AA84/N84)</f>
        <v>0</v>
      </c>
      <c r="AO84" s="637"/>
      <c r="AP84" s="637"/>
      <c r="AQ84" s="638"/>
      <c r="AR84" s="124"/>
      <c r="AS84" s="120"/>
    </row>
    <row r="85" spans="1:45" ht="12.75" customHeight="1">
      <c r="A85" s="1"/>
      <c r="B85" s="603"/>
      <c r="C85" s="121" t="e">
        <f ca="1" t="shared" si="0"/>
        <v>#N/A</v>
      </c>
      <c r="D85" s="639"/>
      <c r="E85" s="640"/>
      <c r="F85" s="640"/>
      <c r="G85" s="640"/>
      <c r="H85" s="640"/>
      <c r="I85" s="641"/>
      <c r="J85" s="659">
        <f ca="1" t="shared" si="1"/>
      </c>
      <c r="K85" s="659"/>
      <c r="L85" s="659"/>
      <c r="M85" s="659"/>
      <c r="N85" s="658">
        <v>0</v>
      </c>
      <c r="O85" s="658"/>
      <c r="P85" s="658"/>
      <c r="Q85" s="658"/>
      <c r="R85" s="633">
        <v>0</v>
      </c>
      <c r="S85" s="634"/>
      <c r="T85" s="634"/>
      <c r="U85" s="635"/>
      <c r="V85" s="835">
        <v>0</v>
      </c>
      <c r="W85" s="836"/>
      <c r="X85" s="836"/>
      <c r="Y85" s="836"/>
      <c r="Z85" s="837"/>
      <c r="AA85" s="727">
        <f ca="1" t="shared" si="2"/>
        <v>0</v>
      </c>
      <c r="AB85" s="728"/>
      <c r="AC85" s="728"/>
      <c r="AD85" s="729"/>
      <c r="AE85" s="727">
        <f ca="1" t="shared" si="3"/>
        <v>0</v>
      </c>
      <c r="AF85" s="728"/>
      <c r="AG85" s="728"/>
      <c r="AH85" s="728"/>
      <c r="AI85" s="729"/>
      <c r="AJ85" s="831">
        <f t="shared" si="4"/>
        <v>0</v>
      </c>
      <c r="AK85" s="832"/>
      <c r="AL85" s="832"/>
      <c r="AM85" s="833"/>
      <c r="AN85" s="636">
        <f>IF(OR(Data!B$56=TRUE,N85=0),0,AA85/N85)</f>
        <v>0</v>
      </c>
      <c r="AO85" s="637"/>
      <c r="AP85" s="637"/>
      <c r="AQ85" s="638"/>
      <c r="AR85" s="124"/>
      <c r="AS85" s="120"/>
    </row>
    <row r="86" spans="1:45" ht="12.75" customHeight="1">
      <c r="A86" s="1"/>
      <c r="B86" s="603"/>
      <c r="C86" s="121" t="e">
        <f ca="1" t="shared" si="0"/>
        <v>#N/A</v>
      </c>
      <c r="D86" s="639"/>
      <c r="E86" s="640"/>
      <c r="F86" s="640"/>
      <c r="G86" s="640"/>
      <c r="H86" s="640"/>
      <c r="I86" s="641"/>
      <c r="J86" s="659">
        <f ca="1" t="shared" si="1"/>
      </c>
      <c r="K86" s="659"/>
      <c r="L86" s="659"/>
      <c r="M86" s="659"/>
      <c r="N86" s="658">
        <v>0</v>
      </c>
      <c r="O86" s="658"/>
      <c r="P86" s="658"/>
      <c r="Q86" s="658"/>
      <c r="R86" s="633">
        <v>0</v>
      </c>
      <c r="S86" s="634"/>
      <c r="T86" s="634"/>
      <c r="U86" s="635"/>
      <c r="V86" s="835">
        <v>0</v>
      </c>
      <c r="W86" s="836"/>
      <c r="X86" s="836"/>
      <c r="Y86" s="836"/>
      <c r="Z86" s="837"/>
      <c r="AA86" s="727">
        <f ca="1" t="shared" si="2"/>
        <v>0</v>
      </c>
      <c r="AB86" s="728"/>
      <c r="AC86" s="728"/>
      <c r="AD86" s="729"/>
      <c r="AE86" s="727">
        <f ca="1" t="shared" si="3"/>
        <v>0</v>
      </c>
      <c r="AF86" s="728"/>
      <c r="AG86" s="728"/>
      <c r="AH86" s="728"/>
      <c r="AI86" s="729"/>
      <c r="AJ86" s="831">
        <f t="shared" si="4"/>
        <v>0</v>
      </c>
      <c r="AK86" s="832"/>
      <c r="AL86" s="832"/>
      <c r="AM86" s="833"/>
      <c r="AN86" s="636">
        <f>IF(OR(Data!B$56=TRUE,N86=0),0,AA86/N86)</f>
        <v>0</v>
      </c>
      <c r="AO86" s="637"/>
      <c r="AP86" s="637"/>
      <c r="AQ86" s="638"/>
      <c r="AR86" s="124"/>
      <c r="AS86" s="120"/>
    </row>
    <row r="87" spans="1:45" ht="12.75" customHeight="1">
      <c r="A87" s="1"/>
      <c r="B87" s="603"/>
      <c r="C87" s="121" t="e">
        <f ca="1" t="shared" si="0"/>
        <v>#N/A</v>
      </c>
      <c r="D87" s="639"/>
      <c r="E87" s="640"/>
      <c r="F87" s="640"/>
      <c r="G87" s="640"/>
      <c r="H87" s="640"/>
      <c r="I87" s="641"/>
      <c r="J87" s="659">
        <f ca="1" t="shared" si="1"/>
      </c>
      <c r="K87" s="659"/>
      <c r="L87" s="659"/>
      <c r="M87" s="659"/>
      <c r="N87" s="658">
        <v>0</v>
      </c>
      <c r="O87" s="658"/>
      <c r="P87" s="658"/>
      <c r="Q87" s="658"/>
      <c r="R87" s="633">
        <v>0</v>
      </c>
      <c r="S87" s="634"/>
      <c r="T87" s="634"/>
      <c r="U87" s="635"/>
      <c r="V87" s="835">
        <v>0</v>
      </c>
      <c r="W87" s="836"/>
      <c r="X87" s="836"/>
      <c r="Y87" s="836"/>
      <c r="Z87" s="837"/>
      <c r="AA87" s="727">
        <f ca="1" t="shared" si="2"/>
        <v>0</v>
      </c>
      <c r="AB87" s="728"/>
      <c r="AC87" s="728"/>
      <c r="AD87" s="729"/>
      <c r="AE87" s="727">
        <f ca="1" t="shared" si="3"/>
        <v>0</v>
      </c>
      <c r="AF87" s="728"/>
      <c r="AG87" s="728"/>
      <c r="AH87" s="728"/>
      <c r="AI87" s="729"/>
      <c r="AJ87" s="831">
        <f t="shared" si="4"/>
        <v>0</v>
      </c>
      <c r="AK87" s="832"/>
      <c r="AL87" s="832"/>
      <c r="AM87" s="833"/>
      <c r="AN87" s="636">
        <f>IF(OR(Data!B$56=TRUE,N87=0),0,AA87/N87)</f>
        <v>0</v>
      </c>
      <c r="AO87" s="637"/>
      <c r="AP87" s="637"/>
      <c r="AQ87" s="638"/>
      <c r="AR87" s="124"/>
      <c r="AS87" s="120"/>
    </row>
    <row r="88" spans="1:45" ht="12.75" customHeight="1">
      <c r="A88" s="1"/>
      <c r="B88" s="603"/>
      <c r="C88" s="121" t="e">
        <f ca="1" t="shared" si="0"/>
        <v>#N/A</v>
      </c>
      <c r="D88" s="639"/>
      <c r="E88" s="640"/>
      <c r="F88" s="640"/>
      <c r="G88" s="640"/>
      <c r="H88" s="640"/>
      <c r="I88" s="641"/>
      <c r="J88" s="659">
        <f ca="1" t="shared" si="1"/>
      </c>
      <c r="K88" s="659"/>
      <c r="L88" s="659"/>
      <c r="M88" s="659"/>
      <c r="N88" s="658">
        <v>0</v>
      </c>
      <c r="O88" s="658"/>
      <c r="P88" s="658"/>
      <c r="Q88" s="658"/>
      <c r="R88" s="633">
        <v>0</v>
      </c>
      <c r="S88" s="634"/>
      <c r="T88" s="634"/>
      <c r="U88" s="635"/>
      <c r="V88" s="835">
        <v>0</v>
      </c>
      <c r="W88" s="836"/>
      <c r="X88" s="836"/>
      <c r="Y88" s="836"/>
      <c r="Z88" s="837"/>
      <c r="AA88" s="727">
        <f ca="1" t="shared" si="2"/>
        <v>0</v>
      </c>
      <c r="AB88" s="728"/>
      <c r="AC88" s="728"/>
      <c r="AD88" s="729"/>
      <c r="AE88" s="727">
        <f ca="1" t="shared" si="3"/>
        <v>0</v>
      </c>
      <c r="AF88" s="728"/>
      <c r="AG88" s="728"/>
      <c r="AH88" s="728"/>
      <c r="AI88" s="729"/>
      <c r="AJ88" s="831">
        <f t="shared" si="4"/>
        <v>0</v>
      </c>
      <c r="AK88" s="832"/>
      <c r="AL88" s="832"/>
      <c r="AM88" s="833"/>
      <c r="AN88" s="636">
        <f>IF(OR(Data!B$56=TRUE,N88=0),0,AA88/N88)</f>
        <v>0</v>
      </c>
      <c r="AO88" s="637"/>
      <c r="AP88" s="637"/>
      <c r="AQ88" s="638"/>
      <c r="AR88" s="124"/>
      <c r="AS88" s="120"/>
    </row>
    <row r="89" spans="1:45" ht="12.75" customHeight="1">
      <c r="A89" s="1"/>
      <c r="B89" s="603"/>
      <c r="C89" s="121" t="e">
        <f ca="1" t="shared" si="0"/>
        <v>#N/A</v>
      </c>
      <c r="D89" s="639"/>
      <c r="E89" s="640"/>
      <c r="F89" s="640"/>
      <c r="G89" s="640"/>
      <c r="H89" s="640"/>
      <c r="I89" s="641"/>
      <c r="J89" s="659">
        <f ca="1" t="shared" si="1"/>
      </c>
      <c r="K89" s="659"/>
      <c r="L89" s="659"/>
      <c r="M89" s="659"/>
      <c r="N89" s="658">
        <v>0</v>
      </c>
      <c r="O89" s="658"/>
      <c r="P89" s="658"/>
      <c r="Q89" s="658"/>
      <c r="R89" s="633">
        <v>0</v>
      </c>
      <c r="S89" s="634"/>
      <c r="T89" s="634"/>
      <c r="U89" s="635"/>
      <c r="V89" s="835">
        <v>0</v>
      </c>
      <c r="W89" s="836"/>
      <c r="X89" s="836"/>
      <c r="Y89" s="836"/>
      <c r="Z89" s="837"/>
      <c r="AA89" s="727">
        <f ca="1" t="shared" si="2"/>
        <v>0</v>
      </c>
      <c r="AB89" s="728"/>
      <c r="AC89" s="728"/>
      <c r="AD89" s="729"/>
      <c r="AE89" s="727">
        <f ca="1" t="shared" si="3"/>
        <v>0</v>
      </c>
      <c r="AF89" s="728"/>
      <c r="AG89" s="728"/>
      <c r="AH89" s="728"/>
      <c r="AI89" s="729"/>
      <c r="AJ89" s="831">
        <f t="shared" si="4"/>
        <v>0</v>
      </c>
      <c r="AK89" s="832"/>
      <c r="AL89" s="832"/>
      <c r="AM89" s="833"/>
      <c r="AN89" s="636">
        <f>IF(OR(Data!B$56=TRUE,N89=0),0,AA89/N89)</f>
        <v>0</v>
      </c>
      <c r="AO89" s="637"/>
      <c r="AP89" s="637"/>
      <c r="AQ89" s="638"/>
      <c r="AR89" s="124"/>
      <c r="AS89" s="120"/>
    </row>
    <row r="90" spans="1:45" ht="12.75" customHeight="1">
      <c r="A90" s="1"/>
      <c r="B90" s="603"/>
      <c r="C90" s="125"/>
      <c r="D90" s="660" t="s">
        <v>126</v>
      </c>
      <c r="E90" s="661"/>
      <c r="F90" s="661"/>
      <c r="G90" s="661"/>
      <c r="H90" s="661"/>
      <c r="I90" s="661"/>
      <c r="J90" s="661"/>
      <c r="K90" s="661"/>
      <c r="L90" s="661"/>
      <c r="M90" s="662"/>
      <c r="N90" s="663"/>
      <c r="O90" s="664"/>
      <c r="P90" s="664"/>
      <c r="Q90" s="665"/>
      <c r="R90" s="666"/>
      <c r="S90" s="667"/>
      <c r="T90" s="667"/>
      <c r="U90" s="668"/>
      <c r="V90" s="828">
        <f>SUM(V84:Z89)</f>
        <v>0</v>
      </c>
      <c r="W90" s="829"/>
      <c r="X90" s="829"/>
      <c r="Y90" s="829"/>
      <c r="Z90" s="830"/>
      <c r="AA90" s="727">
        <f>SUM(AA84:AD89)</f>
        <v>0</v>
      </c>
      <c r="AB90" s="728"/>
      <c r="AC90" s="728"/>
      <c r="AD90" s="729"/>
      <c r="AE90" s="727">
        <f>SUM(AE84:AI89)</f>
        <v>0</v>
      </c>
      <c r="AF90" s="728"/>
      <c r="AG90" s="728"/>
      <c r="AH90" s="728"/>
      <c r="AI90" s="729"/>
      <c r="AJ90" s="831">
        <f t="shared" si="4"/>
        <v>0</v>
      </c>
      <c r="AK90" s="832"/>
      <c r="AL90" s="832"/>
      <c r="AM90" s="833"/>
      <c r="AN90" s="743"/>
      <c r="AO90" s="743"/>
      <c r="AP90" s="743"/>
      <c r="AQ90" s="744"/>
      <c r="AR90" s="124"/>
      <c r="AS90" s="120"/>
    </row>
    <row r="91" spans="1:45" ht="15.75" customHeight="1" thickBot="1">
      <c r="A91" s="1"/>
      <c r="B91" s="604"/>
      <c r="C91" s="126"/>
      <c r="D91" s="980" t="s">
        <v>1012</v>
      </c>
      <c r="E91" s="985"/>
      <c r="F91" s="985"/>
      <c r="G91" s="985"/>
      <c r="H91" s="985"/>
      <c r="I91" s="981"/>
      <c r="J91" s="986">
        <v>5700</v>
      </c>
      <c r="K91" s="987"/>
      <c r="L91" s="987"/>
      <c r="M91" s="988"/>
      <c r="N91" s="980" t="s">
        <v>62</v>
      </c>
      <c r="O91" s="985"/>
      <c r="P91" s="985"/>
      <c r="Q91" s="985"/>
      <c r="R91" s="985"/>
      <c r="S91" s="985"/>
      <c r="T91" s="985"/>
      <c r="U91" s="981"/>
      <c r="V91" s="986">
        <v>1</v>
      </c>
      <c r="W91" s="987"/>
      <c r="X91" s="987"/>
      <c r="Y91" s="987"/>
      <c r="Z91" s="988"/>
      <c r="AA91" s="980" t="s">
        <v>119</v>
      </c>
      <c r="AB91" s="981"/>
      <c r="AC91" s="984" t="s">
        <v>921</v>
      </c>
      <c r="AD91" s="984"/>
      <c r="AE91" s="980" t="s">
        <v>263</v>
      </c>
      <c r="AF91" s="985"/>
      <c r="AG91" s="985"/>
      <c r="AH91" s="985"/>
      <c r="AI91" s="981"/>
      <c r="AJ91" s="756"/>
      <c r="AK91" s="757"/>
      <c r="AL91" s="757"/>
      <c r="AM91" s="758"/>
      <c r="AN91" s="980" t="s">
        <v>119</v>
      </c>
      <c r="AO91" s="981"/>
      <c r="AP91" s="722"/>
      <c r="AQ91" s="723"/>
      <c r="AR91" s="127"/>
      <c r="AS91" s="120"/>
    </row>
    <row r="92" spans="1:45" ht="2.25" customHeight="1" hidden="1">
      <c r="A92" s="1"/>
      <c r="B92" s="602" t="s">
        <v>37</v>
      </c>
      <c r="C92" s="118"/>
      <c r="D92" s="654"/>
      <c r="E92" s="654"/>
      <c r="F92" s="654"/>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c r="AL92" s="654"/>
      <c r="AM92" s="654"/>
      <c r="AN92" s="654"/>
      <c r="AO92" s="654"/>
      <c r="AP92" s="654"/>
      <c r="AQ92" s="654"/>
      <c r="AR92" s="119"/>
      <c r="AS92" s="120"/>
    </row>
    <row r="93" spans="1:45" ht="12.75" customHeight="1" hidden="1">
      <c r="A93" s="1"/>
      <c r="B93" s="603"/>
      <c r="C93" s="121"/>
      <c r="D93" s="513" t="s">
        <v>903</v>
      </c>
      <c r="E93" s="514"/>
      <c r="F93" s="514"/>
      <c r="G93" s="515"/>
      <c r="H93" s="515"/>
      <c r="I93" s="515"/>
      <c r="J93" s="515"/>
      <c r="K93" s="515"/>
      <c r="L93" s="515"/>
      <c r="M93" s="516"/>
      <c r="N93" s="516"/>
      <c r="O93" s="516"/>
      <c r="P93" s="516"/>
      <c r="Q93" s="516"/>
      <c r="R93" s="516"/>
      <c r="S93" s="516"/>
      <c r="T93" s="516"/>
      <c r="U93" s="517"/>
      <c r="V93" s="653" t="s">
        <v>684</v>
      </c>
      <c r="W93" s="653"/>
      <c r="X93" s="653"/>
      <c r="Y93" s="653"/>
      <c r="Z93" s="653"/>
      <c r="AA93" s="753">
        <f>IF(Data!$G$59=TRUE,Data!H59,Data!H57)</f>
        <v>0.15</v>
      </c>
      <c r="AB93" s="754"/>
      <c r="AC93" s="755"/>
      <c r="AD93" s="358"/>
      <c r="AJ93" s="356"/>
      <c r="AK93" s="356"/>
      <c r="AL93" s="356"/>
      <c r="AM93" s="356"/>
      <c r="AN93" s="356"/>
      <c r="AO93" s="356"/>
      <c r="AP93" s="356"/>
      <c r="AQ93" s="356"/>
      <c r="AR93" s="122"/>
      <c r="AS93" s="120"/>
    </row>
    <row r="94" spans="1:45" ht="12.75" customHeight="1" hidden="1">
      <c r="A94" s="1"/>
      <c r="B94" s="603"/>
      <c r="C94" s="121"/>
      <c r="D94" s="672"/>
      <c r="E94" s="672"/>
      <c r="F94" s="672"/>
      <c r="G94" s="653" t="s">
        <v>105</v>
      </c>
      <c r="H94" s="653"/>
      <c r="I94" s="653"/>
      <c r="J94" s="653"/>
      <c r="K94" s="653"/>
      <c r="L94" s="653"/>
      <c r="M94" s="653"/>
      <c r="N94" s="653"/>
      <c r="O94" s="653"/>
      <c r="P94" s="653"/>
      <c r="Q94" s="653"/>
      <c r="R94" s="653"/>
      <c r="S94" s="653"/>
      <c r="T94" s="653"/>
      <c r="U94" s="653"/>
      <c r="V94" s="653"/>
      <c r="W94" s="653"/>
      <c r="X94" s="653"/>
      <c r="Y94" s="653"/>
      <c r="Z94" s="741" t="s">
        <v>106</v>
      </c>
      <c r="AA94" s="741"/>
      <c r="AB94" s="741"/>
      <c r="AC94" s="741"/>
      <c r="AD94" s="741"/>
      <c r="AE94" s="741"/>
      <c r="AF94" s="741"/>
      <c r="AG94" s="741"/>
      <c r="AH94" s="741"/>
      <c r="AI94" s="741"/>
      <c r="AJ94" s="741"/>
      <c r="AK94" s="741"/>
      <c r="AL94" s="741"/>
      <c r="AM94" s="741"/>
      <c r="AN94" s="741"/>
      <c r="AO94" s="741"/>
      <c r="AP94" s="741"/>
      <c r="AQ94" s="741"/>
      <c r="AR94" s="122"/>
      <c r="AS94" s="120"/>
    </row>
    <row r="95" spans="1:45" ht="12.75" customHeight="1" hidden="1">
      <c r="A95" s="1"/>
      <c r="B95" s="603"/>
      <c r="C95" s="313" t="s">
        <v>729</v>
      </c>
      <c r="D95" s="543" t="s">
        <v>175</v>
      </c>
      <c r="E95" s="611" t="s">
        <v>73</v>
      </c>
      <c r="F95" s="611"/>
      <c r="G95" s="669" t="s">
        <v>1010</v>
      </c>
      <c r="H95" s="670"/>
      <c r="I95" s="671"/>
      <c r="J95" s="655" t="s">
        <v>678</v>
      </c>
      <c r="K95" s="656"/>
      <c r="L95" s="656"/>
      <c r="M95" s="656"/>
      <c r="N95" s="656"/>
      <c r="O95" s="657"/>
      <c r="P95" s="631" t="s">
        <v>279</v>
      </c>
      <c r="Q95" s="631"/>
      <c r="R95" s="669" t="s">
        <v>146</v>
      </c>
      <c r="S95" s="670"/>
      <c r="T95" s="671"/>
      <c r="U95" s="631" t="s">
        <v>119</v>
      </c>
      <c r="V95" s="631"/>
      <c r="W95" s="631"/>
      <c r="X95" s="631" t="s">
        <v>267</v>
      </c>
      <c r="Y95" s="631"/>
      <c r="Z95" s="669" t="s">
        <v>1010</v>
      </c>
      <c r="AA95" s="670"/>
      <c r="AB95" s="671"/>
      <c r="AC95" s="655" t="s">
        <v>678</v>
      </c>
      <c r="AD95" s="656"/>
      <c r="AE95" s="656"/>
      <c r="AF95" s="656"/>
      <c r="AG95" s="656"/>
      <c r="AH95" s="657"/>
      <c r="AI95" s="631" t="s">
        <v>279</v>
      </c>
      <c r="AJ95" s="631"/>
      <c r="AK95" s="631" t="s">
        <v>146</v>
      </c>
      <c r="AL95" s="631"/>
      <c r="AM95" s="631"/>
      <c r="AN95" s="631" t="s">
        <v>119</v>
      </c>
      <c r="AO95" s="631"/>
      <c r="AP95" s="631" t="s">
        <v>267</v>
      </c>
      <c r="AQ95" s="631"/>
      <c r="AR95" s="124"/>
      <c r="AS95" s="120"/>
    </row>
    <row r="96" spans="1:45" ht="12.75" customHeight="1" hidden="1">
      <c r="A96" s="1"/>
      <c r="B96" s="603"/>
      <c r="C96" s="121" t="e">
        <f ca="1">INDEX(OFFSET(PRP,,-1,,),MATCH(J96,PRP,0))</f>
        <v>#N/A</v>
      </c>
      <c r="D96" s="292">
        <v>1</v>
      </c>
      <c r="E96" s="612"/>
      <c r="F96" s="612"/>
      <c r="G96" s="605"/>
      <c r="H96" s="606"/>
      <c r="I96" s="607"/>
      <c r="J96" s="628"/>
      <c r="K96" s="629"/>
      <c r="L96" s="629"/>
      <c r="M96" s="629"/>
      <c r="N96" s="629"/>
      <c r="O96" s="630"/>
      <c r="P96" s="643">
        <f aca="true" ca="1" t="shared" si="5" ref="P96:P101">IF(J96="","",INDEX(OFFSET(PRP,,3),MATCH(J96,PRP,0)))</f>
      </c>
      <c r="Q96" s="643"/>
      <c r="R96" s="596"/>
      <c r="S96" s="597"/>
      <c r="T96" s="598"/>
      <c r="U96" s="599" t="s">
        <v>189</v>
      </c>
      <c r="V96" s="600"/>
      <c r="W96" s="601"/>
      <c r="X96" s="673">
        <f aca="true" ca="1" t="shared" si="6" ref="X96:X101">IF(U96="Choisir...",0,INDEX(OFFSET(Unite,,1,,),MATCH(U96,Unite,0))*R96*IF(P96="",0,P96)*AA$93/1000)</f>
        <v>0</v>
      </c>
      <c r="Y96" s="673"/>
      <c r="Z96" s="674"/>
      <c r="AA96" s="674"/>
      <c r="AB96" s="674"/>
      <c r="AC96" s="628"/>
      <c r="AD96" s="629"/>
      <c r="AE96" s="629"/>
      <c r="AF96" s="629"/>
      <c r="AG96" s="629"/>
      <c r="AH96" s="630"/>
      <c r="AI96" s="643">
        <f aca="true" ca="1" t="shared" si="7" ref="AI96:AI101">IF(AC96="","",INDEX(OFFSET(PRP,,3),MATCH(AC96,PRP,0)))</f>
      </c>
      <c r="AJ96" s="643"/>
      <c r="AK96" s="675"/>
      <c r="AL96" s="675"/>
      <c r="AM96" s="675"/>
      <c r="AN96" s="676" t="s">
        <v>189</v>
      </c>
      <c r="AO96" s="676"/>
      <c r="AP96" s="673">
        <f aca="true" ca="1" t="shared" si="8" ref="AP96:AP101">IF(AN96="",0,INDEX(OFFSET(Unite,,1,,),MATCH(AN96,Unite,0))*AK96*IF(AI96="",0,AI96)*AA$93/1000)</f>
        <v>0</v>
      </c>
      <c r="AQ96" s="673"/>
      <c r="AR96" s="124"/>
      <c r="AS96" s="120"/>
    </row>
    <row r="97" spans="1:45" ht="12.75" customHeight="1" hidden="1">
      <c r="A97" s="1"/>
      <c r="B97" s="603"/>
      <c r="C97" s="121" t="e">
        <f ca="1">INDEX(OFFSET(PRP,,-1,,),MATCH(J97,PRP,0))</f>
        <v>#N/A</v>
      </c>
      <c r="D97" s="292">
        <v>2</v>
      </c>
      <c r="E97" s="612"/>
      <c r="F97" s="612"/>
      <c r="G97" s="605"/>
      <c r="H97" s="606"/>
      <c r="I97" s="607"/>
      <c r="J97" s="628"/>
      <c r="K97" s="629"/>
      <c r="L97" s="629"/>
      <c r="M97" s="629"/>
      <c r="N97" s="629"/>
      <c r="O97" s="630"/>
      <c r="P97" s="643">
        <f ca="1" t="shared" si="5"/>
      </c>
      <c r="Q97" s="643"/>
      <c r="R97" s="596"/>
      <c r="S97" s="597"/>
      <c r="T97" s="598"/>
      <c r="U97" s="599" t="s">
        <v>189</v>
      </c>
      <c r="V97" s="600"/>
      <c r="W97" s="601"/>
      <c r="X97" s="673">
        <f ca="1" t="shared" si="6"/>
        <v>0</v>
      </c>
      <c r="Y97" s="673"/>
      <c r="Z97" s="674"/>
      <c r="AA97" s="674"/>
      <c r="AB97" s="674"/>
      <c r="AC97" s="628"/>
      <c r="AD97" s="629"/>
      <c r="AE97" s="629"/>
      <c r="AF97" s="629"/>
      <c r="AG97" s="629"/>
      <c r="AH97" s="630"/>
      <c r="AI97" s="643">
        <f ca="1" t="shared" si="7"/>
      </c>
      <c r="AJ97" s="643"/>
      <c r="AK97" s="675"/>
      <c r="AL97" s="675"/>
      <c r="AM97" s="675"/>
      <c r="AN97" s="676" t="s">
        <v>189</v>
      </c>
      <c r="AO97" s="676"/>
      <c r="AP97" s="673">
        <f ca="1" t="shared" si="8"/>
        <v>0</v>
      </c>
      <c r="AQ97" s="673"/>
      <c r="AR97" s="124"/>
      <c r="AS97" s="120"/>
    </row>
    <row r="98" spans="1:45" ht="12.75" customHeight="1" hidden="1">
      <c r="A98" s="1"/>
      <c r="B98" s="603"/>
      <c r="C98" s="121" t="e">
        <f ca="1">INDEX(OFFSET(PRP,,-1,,),MATCH(J98,PRP,0))</f>
        <v>#N/A</v>
      </c>
      <c r="D98" s="292">
        <v>3</v>
      </c>
      <c r="E98" s="612"/>
      <c r="F98" s="612"/>
      <c r="G98" s="605"/>
      <c r="H98" s="606"/>
      <c r="I98" s="607"/>
      <c r="J98" s="628"/>
      <c r="K98" s="629"/>
      <c r="L98" s="629"/>
      <c r="M98" s="629"/>
      <c r="N98" s="629"/>
      <c r="O98" s="630"/>
      <c r="P98" s="643">
        <f ca="1" t="shared" si="5"/>
      </c>
      <c r="Q98" s="643"/>
      <c r="R98" s="596"/>
      <c r="S98" s="597"/>
      <c r="T98" s="598"/>
      <c r="U98" s="599" t="s">
        <v>189</v>
      </c>
      <c r="V98" s="600"/>
      <c r="W98" s="601"/>
      <c r="X98" s="673">
        <f ca="1" t="shared" si="6"/>
        <v>0</v>
      </c>
      <c r="Y98" s="673"/>
      <c r="Z98" s="674"/>
      <c r="AA98" s="674"/>
      <c r="AB98" s="674"/>
      <c r="AC98" s="628"/>
      <c r="AD98" s="629"/>
      <c r="AE98" s="629"/>
      <c r="AF98" s="629"/>
      <c r="AG98" s="629"/>
      <c r="AH98" s="630"/>
      <c r="AI98" s="643">
        <f ca="1" t="shared" si="7"/>
      </c>
      <c r="AJ98" s="643"/>
      <c r="AK98" s="675"/>
      <c r="AL98" s="675"/>
      <c r="AM98" s="675"/>
      <c r="AN98" s="676" t="s">
        <v>189</v>
      </c>
      <c r="AO98" s="676"/>
      <c r="AP98" s="673">
        <f ca="1" t="shared" si="8"/>
        <v>0</v>
      </c>
      <c r="AQ98" s="673"/>
      <c r="AR98" s="124"/>
      <c r="AS98" s="120"/>
    </row>
    <row r="99" spans="1:45" ht="12.75" customHeight="1" hidden="1">
      <c r="A99" s="1"/>
      <c r="B99" s="603"/>
      <c r="C99" s="121" t="e">
        <f ca="1">INDEX(OFFSET(PRP,,-1,,),MATCH(J99,PRP,0))</f>
        <v>#N/A</v>
      </c>
      <c r="D99" s="292">
        <v>4</v>
      </c>
      <c r="E99" s="612"/>
      <c r="F99" s="612"/>
      <c r="G99" s="605"/>
      <c r="H99" s="606"/>
      <c r="I99" s="607"/>
      <c r="J99" s="628"/>
      <c r="K99" s="629"/>
      <c r="L99" s="629"/>
      <c r="M99" s="629"/>
      <c r="N99" s="629"/>
      <c r="O99" s="630"/>
      <c r="P99" s="643">
        <f ca="1" t="shared" si="5"/>
      </c>
      <c r="Q99" s="643"/>
      <c r="R99" s="596"/>
      <c r="S99" s="597"/>
      <c r="T99" s="598"/>
      <c r="U99" s="599" t="s">
        <v>189</v>
      </c>
      <c r="V99" s="600"/>
      <c r="W99" s="601"/>
      <c r="X99" s="673">
        <f ca="1" t="shared" si="6"/>
        <v>0</v>
      </c>
      <c r="Y99" s="673"/>
      <c r="Z99" s="674"/>
      <c r="AA99" s="674"/>
      <c r="AB99" s="674"/>
      <c r="AC99" s="628"/>
      <c r="AD99" s="629"/>
      <c r="AE99" s="629"/>
      <c r="AF99" s="629"/>
      <c r="AG99" s="629"/>
      <c r="AH99" s="630"/>
      <c r="AI99" s="643">
        <f ca="1" t="shared" si="7"/>
      </c>
      <c r="AJ99" s="643"/>
      <c r="AK99" s="675"/>
      <c r="AL99" s="675"/>
      <c r="AM99" s="675"/>
      <c r="AN99" s="676" t="s">
        <v>189</v>
      </c>
      <c r="AO99" s="676"/>
      <c r="AP99" s="673">
        <f ca="1" t="shared" si="8"/>
        <v>0</v>
      </c>
      <c r="AQ99" s="673"/>
      <c r="AR99" s="124"/>
      <c r="AS99" s="120"/>
    </row>
    <row r="100" spans="1:45" ht="12.75" customHeight="1" hidden="1">
      <c r="A100" s="1"/>
      <c r="B100" s="603"/>
      <c r="C100" s="121"/>
      <c r="D100" s="292">
        <v>5</v>
      </c>
      <c r="E100" s="612"/>
      <c r="F100" s="612"/>
      <c r="G100" s="605"/>
      <c r="H100" s="606"/>
      <c r="I100" s="607"/>
      <c r="J100" s="628"/>
      <c r="K100" s="629"/>
      <c r="L100" s="629"/>
      <c r="M100" s="629"/>
      <c r="N100" s="629"/>
      <c r="O100" s="630"/>
      <c r="P100" s="643">
        <f ca="1" t="shared" si="5"/>
      </c>
      <c r="Q100" s="643"/>
      <c r="R100" s="596"/>
      <c r="S100" s="597"/>
      <c r="T100" s="598"/>
      <c r="U100" s="599" t="s">
        <v>189</v>
      </c>
      <c r="V100" s="600"/>
      <c r="W100" s="601"/>
      <c r="X100" s="673">
        <f ca="1" t="shared" si="6"/>
        <v>0</v>
      </c>
      <c r="Y100" s="673"/>
      <c r="Z100" s="674"/>
      <c r="AA100" s="674"/>
      <c r="AB100" s="674"/>
      <c r="AC100" s="628"/>
      <c r="AD100" s="629"/>
      <c r="AE100" s="629"/>
      <c r="AF100" s="629"/>
      <c r="AG100" s="629"/>
      <c r="AH100" s="630"/>
      <c r="AI100" s="643">
        <f ca="1" t="shared" si="7"/>
      </c>
      <c r="AJ100" s="643"/>
      <c r="AK100" s="675"/>
      <c r="AL100" s="675"/>
      <c r="AM100" s="675"/>
      <c r="AN100" s="676" t="s">
        <v>189</v>
      </c>
      <c r="AO100" s="676"/>
      <c r="AP100" s="673">
        <f ca="1" t="shared" si="8"/>
        <v>0</v>
      </c>
      <c r="AQ100" s="673"/>
      <c r="AR100" s="124"/>
      <c r="AS100" s="120"/>
    </row>
    <row r="101" spans="1:45" ht="12.75" customHeight="1" hidden="1">
      <c r="A101" s="1"/>
      <c r="B101" s="603"/>
      <c r="C101" s="121"/>
      <c r="D101" s="292">
        <v>6</v>
      </c>
      <c r="E101" s="612"/>
      <c r="F101" s="612"/>
      <c r="G101" s="605"/>
      <c r="H101" s="606"/>
      <c r="I101" s="607"/>
      <c r="J101" s="628"/>
      <c r="K101" s="629"/>
      <c r="L101" s="629"/>
      <c r="M101" s="629"/>
      <c r="N101" s="629"/>
      <c r="O101" s="630"/>
      <c r="P101" s="643">
        <f ca="1" t="shared" si="5"/>
      </c>
      <c r="Q101" s="643"/>
      <c r="R101" s="596"/>
      <c r="S101" s="597"/>
      <c r="T101" s="598"/>
      <c r="U101" s="599" t="s">
        <v>189</v>
      </c>
      <c r="V101" s="600"/>
      <c r="W101" s="601"/>
      <c r="X101" s="673">
        <f ca="1" t="shared" si="6"/>
        <v>0</v>
      </c>
      <c r="Y101" s="673"/>
      <c r="Z101" s="674"/>
      <c r="AA101" s="674"/>
      <c r="AB101" s="674"/>
      <c r="AC101" s="628"/>
      <c r="AD101" s="629"/>
      <c r="AE101" s="629"/>
      <c r="AF101" s="629"/>
      <c r="AG101" s="629"/>
      <c r="AH101" s="630"/>
      <c r="AI101" s="643">
        <f ca="1" t="shared" si="7"/>
      </c>
      <c r="AJ101" s="643"/>
      <c r="AK101" s="675"/>
      <c r="AL101" s="675"/>
      <c r="AM101" s="675"/>
      <c r="AN101" s="676" t="s">
        <v>189</v>
      </c>
      <c r="AO101" s="676"/>
      <c r="AP101" s="673">
        <f ca="1" t="shared" si="8"/>
        <v>0</v>
      </c>
      <c r="AQ101" s="673"/>
      <c r="AR101" s="124"/>
      <c r="AS101" s="120"/>
    </row>
    <row r="102" spans="1:45" ht="12.75" customHeight="1" hidden="1">
      <c r="A102" s="1"/>
      <c r="B102" s="603"/>
      <c r="C102" s="125"/>
      <c r="D102" s="613" t="s">
        <v>126</v>
      </c>
      <c r="E102" s="614"/>
      <c r="F102" s="614"/>
      <c r="G102" s="614"/>
      <c r="H102" s="614"/>
      <c r="I102" s="614"/>
      <c r="J102" s="614"/>
      <c r="K102" s="614"/>
      <c r="L102" s="614"/>
      <c r="M102" s="614"/>
      <c r="N102" s="614"/>
      <c r="O102" s="614"/>
      <c r="P102" s="614"/>
      <c r="Q102" s="615"/>
      <c r="R102" s="673">
        <f>SUM(R96:T99)</f>
        <v>0</v>
      </c>
      <c r="S102" s="673"/>
      <c r="T102" s="673"/>
      <c r="U102" s="978"/>
      <c r="V102" s="979"/>
      <c r="W102" s="357"/>
      <c r="X102" s="673">
        <f>SUM(X96:Y99)</f>
        <v>0</v>
      </c>
      <c r="Y102" s="673"/>
      <c r="Z102" s="784"/>
      <c r="AA102" s="784"/>
      <c r="AB102" s="784"/>
      <c r="AC102" s="784"/>
      <c r="AD102" s="784"/>
      <c r="AE102" s="784"/>
      <c r="AF102" s="784"/>
      <c r="AG102" s="784"/>
      <c r="AH102" s="784"/>
      <c r="AI102" s="784"/>
      <c r="AJ102" s="784"/>
      <c r="AK102" s="673">
        <f>SUM(AK96:AM99)</f>
        <v>0</v>
      </c>
      <c r="AL102" s="673"/>
      <c r="AM102" s="673"/>
      <c r="AN102" s="771"/>
      <c r="AO102" s="772"/>
      <c r="AP102" s="673">
        <f>SUM(AP96:AQ99)</f>
        <v>0</v>
      </c>
      <c r="AQ102" s="673"/>
      <c r="AR102" s="124"/>
      <c r="AS102" s="120"/>
    </row>
    <row r="103" spans="1:45" ht="5.25" customHeight="1" hidden="1" thickBot="1">
      <c r="A103" s="1"/>
      <c r="B103" s="604"/>
      <c r="C103" s="126"/>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632"/>
      <c r="AJ103" s="632"/>
      <c r="AK103" s="632"/>
      <c r="AL103" s="632"/>
      <c r="AM103" s="632"/>
      <c r="AN103" s="632"/>
      <c r="AO103" s="632"/>
      <c r="AP103" s="632"/>
      <c r="AQ103" s="632"/>
      <c r="AR103" s="127"/>
      <c r="AS103" s="120"/>
    </row>
    <row r="104" spans="1:44" ht="3" customHeight="1">
      <c r="A104" s="1"/>
      <c r="B104" s="602" t="s">
        <v>680</v>
      </c>
      <c r="C104" s="99"/>
      <c r="D104" s="100"/>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8"/>
    </row>
    <row r="105" spans="1:44" ht="12.75" customHeight="1">
      <c r="A105" s="1"/>
      <c r="B105" s="603"/>
      <c r="C105" s="102"/>
      <c r="D105" s="103" t="s">
        <v>144</v>
      </c>
      <c r="E105" s="103"/>
      <c r="F105" s="104"/>
      <c r="G105" s="104"/>
      <c r="H105" s="1006"/>
      <c r="I105" s="1007"/>
      <c r="J105" s="1007"/>
      <c r="K105" s="1007"/>
      <c r="L105" s="1007"/>
      <c r="M105" s="1007"/>
      <c r="N105" s="1007"/>
      <c r="O105" s="1007"/>
      <c r="P105" s="1007"/>
      <c r="Q105" s="1007"/>
      <c r="R105" s="1007"/>
      <c r="S105" s="1007"/>
      <c r="T105" s="1007"/>
      <c r="U105" s="1007"/>
      <c r="V105" s="1007"/>
      <c r="W105" s="1007"/>
      <c r="X105" s="1007"/>
      <c r="Y105" s="1007"/>
      <c r="Z105" s="1007"/>
      <c r="AA105" s="1007"/>
      <c r="AB105" s="1007"/>
      <c r="AC105" s="1007"/>
      <c r="AD105" s="1007"/>
      <c r="AE105" s="1007"/>
      <c r="AF105" s="1007"/>
      <c r="AG105" s="1007"/>
      <c r="AH105" s="1007"/>
      <c r="AI105" s="1007"/>
      <c r="AJ105" s="1007"/>
      <c r="AK105" s="1007"/>
      <c r="AL105" s="1007"/>
      <c r="AM105" s="1007"/>
      <c r="AN105" s="1007"/>
      <c r="AO105" s="1007"/>
      <c r="AP105" s="1007"/>
      <c r="AQ105" s="1008"/>
      <c r="AR105" s="8"/>
    </row>
    <row r="106" spans="1:45" ht="3" customHeight="1">
      <c r="A106" s="1"/>
      <c r="B106" s="603"/>
      <c r="C106" s="102"/>
      <c r="D106" s="104"/>
      <c r="E106" s="103"/>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8"/>
      <c r="AS106" s="58"/>
    </row>
    <row r="107" spans="1:44" ht="12.75" customHeight="1">
      <c r="A107" s="1"/>
      <c r="B107" s="603"/>
      <c r="C107" s="102"/>
      <c r="D107" s="103" t="s">
        <v>173</v>
      </c>
      <c r="E107" s="103"/>
      <c r="F107" s="104"/>
      <c r="G107" s="104"/>
      <c r="H107" s="104"/>
      <c r="I107" s="104"/>
      <c r="J107" s="104"/>
      <c r="K107" s="104"/>
      <c r="L107" s="104"/>
      <c r="M107" s="104"/>
      <c r="N107" s="116" t="s">
        <v>123</v>
      </c>
      <c r="O107" s="738"/>
      <c r="P107" s="739"/>
      <c r="Q107" s="739"/>
      <c r="R107" s="740"/>
      <c r="S107" s="297"/>
      <c r="T107" s="297"/>
      <c r="U107" s="297"/>
      <c r="V107" s="104"/>
      <c r="W107" s="104"/>
      <c r="X107" s="104"/>
      <c r="Y107" s="104"/>
      <c r="Z107" s="104"/>
      <c r="AA107" s="117" t="s">
        <v>109</v>
      </c>
      <c r="AB107" s="738"/>
      <c r="AC107" s="739"/>
      <c r="AD107" s="739"/>
      <c r="AE107" s="740"/>
      <c r="AF107" s="297"/>
      <c r="AG107" s="297"/>
      <c r="AH107" s="297"/>
      <c r="AI107" s="297"/>
      <c r="AK107" s="104"/>
      <c r="AL107" s="104"/>
      <c r="AM107" s="94" t="s">
        <v>1150</v>
      </c>
      <c r="AN107" s="738"/>
      <c r="AO107" s="739"/>
      <c r="AP107" s="739"/>
      <c r="AQ107" s="740"/>
      <c r="AR107" s="8"/>
    </row>
    <row r="108" spans="1:44" ht="12.75" customHeight="1">
      <c r="A108" s="1"/>
      <c r="B108" s="603"/>
      <c r="C108" s="102"/>
      <c r="E108" s="105"/>
      <c r="F108" s="105"/>
      <c r="G108" s="105"/>
      <c r="H108" s="105"/>
      <c r="I108" s="105"/>
      <c r="J108" s="105"/>
      <c r="K108" s="105"/>
      <c r="O108" s="17" t="s">
        <v>967</v>
      </c>
      <c r="P108" s="104"/>
      <c r="Q108" s="104"/>
      <c r="R108" s="104"/>
      <c r="S108" s="297"/>
      <c r="T108" s="297"/>
      <c r="U108" s="297"/>
      <c r="V108" s="298"/>
      <c r="W108" s="297"/>
      <c r="X108" s="297"/>
      <c r="Y108" s="297"/>
      <c r="Z108" s="297"/>
      <c r="AA108" s="94"/>
      <c r="AB108" s="17" t="s">
        <v>968</v>
      </c>
      <c r="AC108" s="104"/>
      <c r="AD108" s="104"/>
      <c r="AE108" s="104"/>
      <c r="AF108" s="297"/>
      <c r="AG108" s="297"/>
      <c r="AH108" s="297"/>
      <c r="AI108" s="297"/>
      <c r="AJ108" s="298"/>
      <c r="AK108" s="297"/>
      <c r="AL108" s="297"/>
      <c r="AM108" s="297"/>
      <c r="AN108" s="782" t="s">
        <v>966</v>
      </c>
      <c r="AO108" s="783"/>
      <c r="AP108" s="783"/>
      <c r="AQ108" s="783"/>
      <c r="AR108" s="8"/>
    </row>
    <row r="109" spans="1:44" ht="2.25" customHeight="1">
      <c r="A109" s="1"/>
      <c r="B109" s="603"/>
      <c r="C109" s="102"/>
      <c r="D109" s="112"/>
      <c r="E109" s="112"/>
      <c r="F109" s="112"/>
      <c r="G109" s="112"/>
      <c r="H109" s="112"/>
      <c r="I109" s="112"/>
      <c r="J109" s="112"/>
      <c r="K109" s="112"/>
      <c r="L109" s="112"/>
      <c r="Q109" s="104"/>
      <c r="R109" s="297"/>
      <c r="S109" s="297"/>
      <c r="T109" s="297"/>
      <c r="U109" s="297"/>
      <c r="V109" s="104"/>
      <c r="W109" s="297"/>
      <c r="X109" s="297"/>
      <c r="Y109" s="297"/>
      <c r="Z109" s="297"/>
      <c r="AE109" s="104"/>
      <c r="AF109" s="104"/>
      <c r="AG109" s="104"/>
      <c r="AH109" s="104"/>
      <c r="AI109" s="104"/>
      <c r="AJ109" s="104"/>
      <c r="AK109" s="297"/>
      <c r="AL109" s="297"/>
      <c r="AM109" s="297"/>
      <c r="AP109" s="112"/>
      <c r="AQ109" s="112"/>
      <c r="AR109" s="8"/>
    </row>
    <row r="110" spans="1:44" ht="2.25" customHeight="1" hidden="1">
      <c r="A110" s="1"/>
      <c r="B110" s="603"/>
      <c r="C110" s="10"/>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111"/>
    </row>
    <row r="111" spans="1:44" ht="12.75" customHeight="1" hidden="1">
      <c r="A111" s="1"/>
      <c r="B111" s="603"/>
      <c r="C111" s="10"/>
      <c r="D111" s="299" t="s">
        <v>223</v>
      </c>
      <c r="E111" s="300"/>
      <c r="F111" s="300"/>
      <c r="G111" s="300"/>
      <c r="H111" s="300"/>
      <c r="I111" s="300"/>
      <c r="J111" s="300"/>
      <c r="K111" s="300"/>
      <c r="L111" s="300"/>
      <c r="M111" s="300"/>
      <c r="N111" s="300"/>
      <c r="O111" s="300"/>
      <c r="P111" s="300"/>
      <c r="Q111" s="300"/>
      <c r="R111" s="300"/>
      <c r="S111" s="300"/>
      <c r="T111" s="300"/>
      <c r="U111" s="300"/>
      <c r="V111" s="128"/>
      <c r="W111" s="301"/>
      <c r="X111" s="301"/>
      <c r="Y111" s="301"/>
      <c r="Z111" s="301"/>
      <c r="AA111" s="97"/>
      <c r="AB111" s="97"/>
      <c r="AC111" s="97"/>
      <c r="AD111" s="97"/>
      <c r="AE111" s="302"/>
      <c r="AF111" s="302"/>
      <c r="AG111" s="302"/>
      <c r="AH111" s="302"/>
      <c r="AI111" s="302"/>
      <c r="AJ111" s="303" t="s">
        <v>235</v>
      </c>
      <c r="AK111" s="301"/>
      <c r="AL111" s="301"/>
      <c r="AM111" s="304"/>
      <c r="AN111" s="677">
        <v>0</v>
      </c>
      <c r="AO111" s="678"/>
      <c r="AP111" s="678"/>
      <c r="AQ111" s="679"/>
      <c r="AR111" s="77"/>
    </row>
    <row r="112" spans="1:44" ht="12.75" customHeight="1" hidden="1">
      <c r="A112" s="1"/>
      <c r="B112" s="603"/>
      <c r="C112" s="10"/>
      <c r="D112" s="824" t="s">
        <v>180</v>
      </c>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5"/>
      <c r="AA112" s="825"/>
      <c r="AB112" s="825"/>
      <c r="AC112" s="825"/>
      <c r="AD112" s="825"/>
      <c r="AE112" s="825"/>
      <c r="AF112" s="825"/>
      <c r="AG112" s="825"/>
      <c r="AH112" s="825"/>
      <c r="AI112" s="825"/>
      <c r="AJ112" s="825"/>
      <c r="AK112" s="825"/>
      <c r="AL112" s="825"/>
      <c r="AM112" s="826"/>
      <c r="AN112" s="796">
        <f>'2. Plan d''implantation'!O50</f>
        <v>0</v>
      </c>
      <c r="AO112" s="797"/>
      <c r="AP112" s="797"/>
      <c r="AQ112" s="798"/>
      <c r="AR112" s="78"/>
    </row>
    <row r="113" spans="1:44" ht="12.75" customHeight="1" hidden="1">
      <c r="A113" s="1"/>
      <c r="B113" s="603"/>
      <c r="C113" s="10"/>
      <c r="D113" s="838" t="s">
        <v>191</v>
      </c>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39"/>
      <c r="AA113" s="839"/>
      <c r="AB113" s="839"/>
      <c r="AC113" s="839"/>
      <c r="AD113" s="839"/>
      <c r="AE113" s="839"/>
      <c r="AF113" s="839"/>
      <c r="AG113" s="839"/>
      <c r="AH113" s="839"/>
      <c r="AI113" s="839"/>
      <c r="AJ113" s="839"/>
      <c r="AK113" s="839"/>
      <c r="AL113" s="839"/>
      <c r="AM113" s="840"/>
      <c r="AN113" s="791">
        <f>'2. Plan d''implantation'!P50</f>
        <v>0</v>
      </c>
      <c r="AO113" s="792"/>
      <c r="AP113" s="792"/>
      <c r="AQ113" s="793"/>
      <c r="AR113" s="78"/>
    </row>
    <row r="114" spans="1:44" ht="3" customHeight="1">
      <c r="A114" s="1"/>
      <c r="B114" s="603"/>
      <c r="C114" s="6"/>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5"/>
      <c r="AN114" s="115"/>
      <c r="AO114" s="115"/>
      <c r="AP114" s="115"/>
      <c r="AQ114" s="115"/>
      <c r="AR114" s="78"/>
    </row>
    <row r="115" spans="1:44" ht="12.75" customHeight="1">
      <c r="A115" s="1"/>
      <c r="B115" s="603"/>
      <c r="C115" s="6"/>
      <c r="D115" s="593" t="s">
        <v>213</v>
      </c>
      <c r="E115" s="594"/>
      <c r="F115" s="594"/>
      <c r="G115" s="594"/>
      <c r="H115" s="594"/>
      <c r="I115" s="594"/>
      <c r="J115" s="594"/>
      <c r="K115" s="594"/>
      <c r="L115" s="594"/>
      <c r="M115" s="594"/>
      <c r="N115" s="594"/>
      <c r="O115" s="594"/>
      <c r="P115" s="594"/>
      <c r="Q115" s="594"/>
      <c r="R115" s="594"/>
      <c r="S115" s="594"/>
      <c r="T115" s="594"/>
      <c r="U115" s="595"/>
      <c r="V115" s="129"/>
      <c r="W115" s="129"/>
      <c r="X115" s="129"/>
      <c r="Y115" s="114"/>
      <c r="Z115" s="114"/>
      <c r="AA115" s="114"/>
      <c r="AB115" s="114"/>
      <c r="AC115" s="114"/>
      <c r="AD115" s="114"/>
      <c r="AE115" s="114"/>
      <c r="AF115" s="114"/>
      <c r="AG115" s="114"/>
      <c r="AH115" s="114"/>
      <c r="AI115" s="114"/>
      <c r="AJ115" s="114"/>
      <c r="AK115" s="114"/>
      <c r="AL115" s="114"/>
      <c r="AM115" s="115"/>
      <c r="AN115" s="115"/>
      <c r="AO115" s="115"/>
      <c r="AP115" s="115"/>
      <c r="AQ115" s="115"/>
      <c r="AR115" s="78"/>
    </row>
    <row r="116" spans="1:44" ht="12.75" customHeight="1">
      <c r="A116" s="1"/>
      <c r="B116" s="603"/>
      <c r="C116" s="6"/>
      <c r="D116" s="619"/>
      <c r="E116" s="620"/>
      <c r="F116" s="620"/>
      <c r="G116" s="620"/>
      <c r="H116" s="620"/>
      <c r="I116" s="620"/>
      <c r="J116" s="620"/>
      <c r="K116" s="620"/>
      <c r="L116" s="620"/>
      <c r="M116" s="620"/>
      <c r="N116" s="620"/>
      <c r="O116" s="620"/>
      <c r="P116" s="620"/>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20"/>
      <c r="AL116" s="620"/>
      <c r="AM116" s="620"/>
      <c r="AN116" s="620"/>
      <c r="AO116" s="620"/>
      <c r="AP116" s="620"/>
      <c r="AQ116" s="621"/>
      <c r="AR116" s="78"/>
    </row>
    <row r="117" spans="1:44" ht="12.75" customHeight="1">
      <c r="A117" s="1"/>
      <c r="B117" s="603"/>
      <c r="C117" s="6"/>
      <c r="D117" s="622"/>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3"/>
      <c r="AD117" s="623"/>
      <c r="AE117" s="623"/>
      <c r="AF117" s="623"/>
      <c r="AG117" s="623"/>
      <c r="AH117" s="623"/>
      <c r="AI117" s="623"/>
      <c r="AJ117" s="623"/>
      <c r="AK117" s="623"/>
      <c r="AL117" s="623"/>
      <c r="AM117" s="623"/>
      <c r="AN117" s="623"/>
      <c r="AO117" s="623"/>
      <c r="AP117" s="623"/>
      <c r="AQ117" s="624"/>
      <c r="AR117" s="78"/>
    </row>
    <row r="118" spans="1:44" ht="12.75" customHeight="1">
      <c r="A118" s="1"/>
      <c r="B118" s="603"/>
      <c r="C118" s="6"/>
      <c r="D118" s="622"/>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3"/>
      <c r="AG118" s="623"/>
      <c r="AH118" s="623"/>
      <c r="AI118" s="623"/>
      <c r="AJ118" s="623"/>
      <c r="AK118" s="623"/>
      <c r="AL118" s="623"/>
      <c r="AM118" s="623"/>
      <c r="AN118" s="623"/>
      <c r="AO118" s="623"/>
      <c r="AP118" s="623"/>
      <c r="AQ118" s="624"/>
      <c r="AR118" s="78"/>
    </row>
    <row r="119" spans="1:44" ht="12.75" customHeight="1">
      <c r="A119" s="1"/>
      <c r="B119" s="603"/>
      <c r="C119" s="6"/>
      <c r="D119" s="622"/>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3"/>
      <c r="AD119" s="623"/>
      <c r="AE119" s="623"/>
      <c r="AF119" s="623"/>
      <c r="AG119" s="623"/>
      <c r="AH119" s="623"/>
      <c r="AI119" s="623"/>
      <c r="AJ119" s="623"/>
      <c r="AK119" s="623"/>
      <c r="AL119" s="623"/>
      <c r="AM119" s="623"/>
      <c r="AN119" s="623"/>
      <c r="AO119" s="623"/>
      <c r="AP119" s="623"/>
      <c r="AQ119" s="624"/>
      <c r="AR119" s="78"/>
    </row>
    <row r="120" spans="1:44" ht="12.75" customHeight="1">
      <c r="A120" s="1"/>
      <c r="B120" s="603"/>
      <c r="C120" s="6"/>
      <c r="D120" s="625"/>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26"/>
      <c r="AL120" s="626"/>
      <c r="AM120" s="626"/>
      <c r="AN120" s="626"/>
      <c r="AO120" s="626"/>
      <c r="AP120" s="626"/>
      <c r="AQ120" s="627"/>
      <c r="AR120" s="78"/>
    </row>
    <row r="121" spans="1:44" ht="2.25" customHeight="1" thickBot="1">
      <c r="A121" s="1"/>
      <c r="B121" s="603"/>
      <c r="C121" s="6"/>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5"/>
      <c r="AN121" s="115"/>
      <c r="AO121" s="115"/>
      <c r="AP121" s="115"/>
      <c r="AQ121" s="115"/>
      <c r="AR121" s="78"/>
    </row>
    <row r="122" spans="1:44" ht="3" customHeight="1" hidden="1">
      <c r="A122" s="1"/>
      <c r="B122" s="603"/>
      <c r="C122" s="6"/>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5"/>
      <c r="AN122" s="115"/>
      <c r="AO122" s="115"/>
      <c r="AP122" s="115"/>
      <c r="AQ122" s="115"/>
      <c r="AR122" s="78"/>
    </row>
    <row r="123" spans="1:44" ht="12.75" customHeight="1" hidden="1">
      <c r="A123" s="1"/>
      <c r="B123" s="603"/>
      <c r="C123" s="6"/>
      <c r="D123" s="794" t="s">
        <v>488</v>
      </c>
      <c r="E123" s="795"/>
      <c r="F123" s="795"/>
      <c r="G123" s="795"/>
      <c r="H123" s="795"/>
      <c r="I123" s="795"/>
      <c r="J123" s="795"/>
      <c r="K123" s="795"/>
      <c r="L123" s="795"/>
      <c r="M123" s="795"/>
      <c r="N123" s="795"/>
      <c r="O123" s="795"/>
      <c r="P123" s="795"/>
      <c r="Q123" s="795"/>
      <c r="R123" s="795"/>
      <c r="S123" s="795"/>
      <c r="T123" s="795"/>
      <c r="U123" s="795"/>
      <c r="V123" s="114"/>
      <c r="W123" s="114"/>
      <c r="X123" s="114"/>
      <c r="Y123" s="114"/>
      <c r="Z123" s="114"/>
      <c r="AA123" s="114"/>
      <c r="AB123" s="114"/>
      <c r="AC123" s="114"/>
      <c r="AD123" s="114"/>
      <c r="AE123" s="114"/>
      <c r="AF123" s="114"/>
      <c r="AG123" s="114"/>
      <c r="AH123" s="114"/>
      <c r="AI123" s="114"/>
      <c r="AJ123" s="114"/>
      <c r="AK123" s="114"/>
      <c r="AL123" s="114"/>
      <c r="AM123" s="115"/>
      <c r="AN123" s="115"/>
      <c r="AO123" s="115"/>
      <c r="AP123" s="115"/>
      <c r="AQ123" s="115"/>
      <c r="AR123" s="78"/>
    </row>
    <row r="124" spans="1:44" ht="12.75" customHeight="1" hidden="1">
      <c r="A124" s="1"/>
      <c r="B124" s="603"/>
      <c r="C124" s="6"/>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5"/>
      <c r="AN124" s="115"/>
      <c r="AO124" s="115"/>
      <c r="AP124" s="115"/>
      <c r="AQ124" s="115"/>
      <c r="AR124" s="78"/>
    </row>
    <row r="125" spans="1:44" ht="12.75" customHeight="1" hidden="1">
      <c r="A125" s="1"/>
      <c r="B125" s="603"/>
      <c r="C125" s="6"/>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5"/>
      <c r="AN125" s="115"/>
      <c r="AO125" s="115"/>
      <c r="AP125" s="115"/>
      <c r="AQ125" s="115"/>
      <c r="AR125" s="78"/>
    </row>
    <row r="126" spans="1:44" ht="12.75" customHeight="1" hidden="1">
      <c r="A126" s="1"/>
      <c r="B126" s="603"/>
      <c r="C126" s="6"/>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5"/>
      <c r="AN126" s="115"/>
      <c r="AO126" s="115"/>
      <c r="AP126" s="115"/>
      <c r="AQ126" s="115"/>
      <c r="AR126" s="78"/>
    </row>
    <row r="127" spans="1:44" ht="12.75" customHeight="1" hidden="1">
      <c r="A127" s="1"/>
      <c r="B127" s="603"/>
      <c r="C127" s="6"/>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5"/>
      <c r="AN127" s="115"/>
      <c r="AO127" s="115"/>
      <c r="AP127" s="115"/>
      <c r="AQ127" s="115"/>
      <c r="AR127" s="78"/>
    </row>
    <row r="128" spans="1:44" ht="4.5" customHeight="1" hidden="1">
      <c r="A128" s="1"/>
      <c r="B128" s="603"/>
      <c r="C128" s="6"/>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5"/>
      <c r="AN128" s="115"/>
      <c r="AO128" s="115"/>
      <c r="AP128" s="115"/>
      <c r="AQ128" s="115"/>
      <c r="AR128" s="78"/>
    </row>
    <row r="129" spans="1:44" ht="12.75" customHeight="1" hidden="1">
      <c r="A129" s="1"/>
      <c r="B129" s="603"/>
      <c r="C129" s="6"/>
      <c r="D129" s="820" t="s">
        <v>491</v>
      </c>
      <c r="E129" s="820"/>
      <c r="F129" s="820"/>
      <c r="G129" s="827"/>
      <c r="H129" s="766" t="s">
        <v>492</v>
      </c>
      <c r="I129" s="767"/>
      <c r="J129" s="767"/>
      <c r="K129" s="768"/>
      <c r="L129" s="766" t="s">
        <v>493</v>
      </c>
      <c r="M129" s="767"/>
      <c r="N129" s="767"/>
      <c r="O129" s="768"/>
      <c r="P129" s="766" t="s">
        <v>494</v>
      </c>
      <c r="Q129" s="767"/>
      <c r="R129" s="767"/>
      <c r="S129" s="768"/>
      <c r="T129" s="766" t="s">
        <v>208</v>
      </c>
      <c r="U129" s="767"/>
      <c r="V129" s="767"/>
      <c r="W129" s="767"/>
      <c r="X129" s="768"/>
      <c r="Y129" s="766" t="s">
        <v>495</v>
      </c>
      <c r="Z129" s="767"/>
      <c r="AA129" s="767"/>
      <c r="AB129" s="768"/>
      <c r="AC129" s="766" t="s">
        <v>496</v>
      </c>
      <c r="AD129" s="767"/>
      <c r="AE129" s="767"/>
      <c r="AF129" s="768"/>
      <c r="AG129" s="766" t="s">
        <v>497</v>
      </c>
      <c r="AH129" s="767"/>
      <c r="AI129" s="767"/>
      <c r="AJ129" s="767"/>
      <c r="AK129" s="768"/>
      <c r="AL129" s="776" t="s">
        <v>498</v>
      </c>
      <c r="AM129" s="777"/>
      <c r="AN129" s="777"/>
      <c r="AO129" s="777"/>
      <c r="AP129" s="777"/>
      <c r="AQ129" s="778"/>
      <c r="AR129" s="78"/>
    </row>
    <row r="130" spans="1:44" ht="14.25" customHeight="1" hidden="1">
      <c r="A130" s="1"/>
      <c r="B130" s="603"/>
      <c r="C130" s="6"/>
      <c r="D130" s="820"/>
      <c r="E130" s="820"/>
      <c r="F130" s="820"/>
      <c r="G130" s="827"/>
      <c r="H130" s="773"/>
      <c r="I130" s="774"/>
      <c r="J130" s="774"/>
      <c r="K130" s="775"/>
      <c r="L130" s="773"/>
      <c r="M130" s="774"/>
      <c r="N130" s="774"/>
      <c r="O130" s="775"/>
      <c r="P130" s="773"/>
      <c r="Q130" s="774"/>
      <c r="R130" s="774"/>
      <c r="S130" s="775"/>
      <c r="T130" s="773"/>
      <c r="U130" s="774"/>
      <c r="V130" s="774"/>
      <c r="W130" s="774"/>
      <c r="X130" s="775"/>
      <c r="Y130" s="773"/>
      <c r="Z130" s="774"/>
      <c r="AA130" s="774"/>
      <c r="AB130" s="775"/>
      <c r="AC130" s="773"/>
      <c r="AD130" s="774"/>
      <c r="AE130" s="774"/>
      <c r="AF130" s="775"/>
      <c r="AG130" s="763"/>
      <c r="AH130" s="764"/>
      <c r="AI130" s="764"/>
      <c r="AJ130" s="764"/>
      <c r="AK130" s="765"/>
      <c r="AL130" s="276"/>
      <c r="AM130" s="982"/>
      <c r="AN130" s="982"/>
      <c r="AO130" s="982"/>
      <c r="AP130" s="982"/>
      <c r="AQ130" s="983"/>
      <c r="AR130" s="78"/>
    </row>
    <row r="131" spans="1:44" ht="3.75" customHeight="1" hidden="1">
      <c r="A131" s="1"/>
      <c r="B131" s="603"/>
      <c r="C131" s="6"/>
      <c r="D131" s="46"/>
      <c r="E131" s="46"/>
      <c r="F131" s="46"/>
      <c r="G131" s="46"/>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6"/>
      <c r="AH131" s="278"/>
      <c r="AI131" s="278"/>
      <c r="AJ131" s="278"/>
      <c r="AK131" s="278"/>
      <c r="AL131" s="370"/>
      <c r="AM131" s="371"/>
      <c r="AN131" s="371"/>
      <c r="AO131" s="371"/>
      <c r="AP131" s="371"/>
      <c r="AQ131" s="371"/>
      <c r="AR131" s="78"/>
    </row>
    <row r="132" spans="1:44" ht="14.25" customHeight="1" hidden="1">
      <c r="A132" s="1"/>
      <c r="B132" s="603"/>
      <c r="C132" s="6"/>
      <c r="D132" s="820" t="s">
        <v>499</v>
      </c>
      <c r="E132" s="820"/>
      <c r="F132" s="820"/>
      <c r="G132" s="759"/>
      <c r="H132" s="279"/>
      <c r="I132" s="280"/>
      <c r="J132" s="710" t="s">
        <v>32</v>
      </c>
      <c r="K132" s="710"/>
      <c r="L132" s="710"/>
      <c r="M132" s="710"/>
      <c r="N132" s="710"/>
      <c r="O132" s="710"/>
      <c r="P132" s="710"/>
      <c r="Q132" s="710"/>
      <c r="R132" s="710"/>
      <c r="S132" s="710"/>
      <c r="T132" s="710"/>
      <c r="U132" s="710"/>
      <c r="V132" s="710"/>
      <c r="W132" s="710"/>
      <c r="X132" s="711"/>
      <c r="Y132" s="769"/>
      <c r="Z132" s="770"/>
      <c r="AA132" s="770"/>
      <c r="AB132" s="770"/>
      <c r="AC132" s="770"/>
      <c r="AD132" s="770"/>
      <c r="AE132" s="770"/>
      <c r="AF132" s="770"/>
      <c r="AG132" s="770"/>
      <c r="AH132" s="770"/>
      <c r="AI132" s="770"/>
      <c r="AJ132" s="770"/>
      <c r="AK132" s="770"/>
      <c r="AL132" s="770"/>
      <c r="AM132" s="770"/>
      <c r="AN132" s="770"/>
      <c r="AO132" s="770"/>
      <c r="AP132" s="770"/>
      <c r="AQ132" s="770"/>
      <c r="AR132" s="78"/>
    </row>
    <row r="133" spans="1:44" ht="14.25" customHeight="1" hidden="1">
      <c r="A133" s="1"/>
      <c r="B133" s="603"/>
      <c r="C133" s="6"/>
      <c r="D133" s="820"/>
      <c r="E133" s="820"/>
      <c r="F133" s="820"/>
      <c r="G133" s="759"/>
      <c r="H133" s="689" t="s">
        <v>500</v>
      </c>
      <c r="I133" s="690"/>
      <c r="J133" s="690"/>
      <c r="K133" s="691"/>
      <c r="L133" s="689" t="s">
        <v>501</v>
      </c>
      <c r="M133" s="690"/>
      <c r="N133" s="690"/>
      <c r="O133" s="691"/>
      <c r="P133" s="689" t="s">
        <v>502</v>
      </c>
      <c r="Q133" s="690"/>
      <c r="R133" s="690"/>
      <c r="S133" s="691"/>
      <c r="T133" s="689" t="s">
        <v>503</v>
      </c>
      <c r="U133" s="690"/>
      <c r="V133" s="690"/>
      <c r="W133" s="690"/>
      <c r="X133" s="691"/>
      <c r="Y133" s="689" t="s">
        <v>504</v>
      </c>
      <c r="Z133" s="690"/>
      <c r="AA133" s="690"/>
      <c r="AB133" s="691"/>
      <c r="AC133" s="689" t="s">
        <v>505</v>
      </c>
      <c r="AD133" s="690"/>
      <c r="AE133" s="690"/>
      <c r="AF133" s="691"/>
      <c r="AG133" s="689" t="s">
        <v>506</v>
      </c>
      <c r="AH133" s="690"/>
      <c r="AI133" s="690"/>
      <c r="AJ133" s="690"/>
      <c r="AK133" s="691"/>
      <c r="AL133" s="760" t="s">
        <v>498</v>
      </c>
      <c r="AM133" s="761"/>
      <c r="AN133" s="761"/>
      <c r="AO133" s="761"/>
      <c r="AP133" s="761"/>
      <c r="AQ133" s="762"/>
      <c r="AR133" s="78"/>
    </row>
    <row r="134" spans="1:44" ht="14.25" customHeight="1" hidden="1">
      <c r="A134" s="1"/>
      <c r="B134" s="603"/>
      <c r="C134" s="6"/>
      <c r="D134" s="820"/>
      <c r="E134" s="820"/>
      <c r="F134" s="820"/>
      <c r="G134" s="759"/>
      <c r="H134" s="692"/>
      <c r="I134" s="693"/>
      <c r="J134" s="693"/>
      <c r="K134" s="694"/>
      <c r="L134" s="692"/>
      <c r="M134" s="693"/>
      <c r="N134" s="693"/>
      <c r="O134" s="694"/>
      <c r="P134" s="692"/>
      <c r="Q134" s="693"/>
      <c r="R134" s="693"/>
      <c r="S134" s="694"/>
      <c r="T134" s="692"/>
      <c r="U134" s="693"/>
      <c r="V134" s="693"/>
      <c r="W134" s="693"/>
      <c r="X134" s="694"/>
      <c r="Y134" s="692"/>
      <c r="Z134" s="693"/>
      <c r="AA134" s="693"/>
      <c r="AB134" s="694"/>
      <c r="AC134" s="692"/>
      <c r="AD134" s="693"/>
      <c r="AE134" s="693"/>
      <c r="AF134" s="694"/>
      <c r="AG134" s="717"/>
      <c r="AH134" s="718"/>
      <c r="AI134" s="718"/>
      <c r="AJ134" s="718"/>
      <c r="AK134" s="719"/>
      <c r="AL134" s="286"/>
      <c r="AM134" s="712"/>
      <c r="AN134" s="712"/>
      <c r="AO134" s="712"/>
      <c r="AP134" s="712"/>
      <c r="AQ134" s="713"/>
      <c r="AR134" s="78"/>
    </row>
    <row r="135" spans="1:44" ht="3" customHeight="1" hidden="1">
      <c r="A135" s="1"/>
      <c r="B135" s="603"/>
      <c r="C135" s="6"/>
      <c r="D135" s="820"/>
      <c r="E135" s="820"/>
      <c r="F135" s="820"/>
      <c r="G135" s="759"/>
      <c r="H135" s="282"/>
      <c r="I135" s="282"/>
      <c r="J135" s="282"/>
      <c r="K135" s="282"/>
      <c r="L135" s="282"/>
      <c r="M135" s="282"/>
      <c r="N135" s="282"/>
      <c r="O135" s="282"/>
      <c r="P135" s="282"/>
      <c r="Q135" s="284"/>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1"/>
      <c r="AM135" s="281"/>
      <c r="AN135" s="281"/>
      <c r="AO135" s="281"/>
      <c r="AP135" s="281"/>
      <c r="AQ135" s="281"/>
      <c r="AR135" s="78"/>
    </row>
    <row r="136" spans="1:44" ht="14.25" customHeight="1" hidden="1">
      <c r="A136" s="1"/>
      <c r="B136" s="603"/>
      <c r="C136" s="6"/>
      <c r="D136" s="820"/>
      <c r="E136" s="820"/>
      <c r="F136" s="820"/>
      <c r="G136" s="759"/>
      <c r="H136" s="279"/>
      <c r="I136" s="280"/>
      <c r="J136" s="710" t="s">
        <v>33</v>
      </c>
      <c r="K136" s="710"/>
      <c r="L136" s="710"/>
      <c r="M136" s="710"/>
      <c r="N136" s="710"/>
      <c r="O136" s="710"/>
      <c r="P136" s="710"/>
      <c r="Q136" s="710"/>
      <c r="R136" s="710"/>
      <c r="S136" s="710"/>
      <c r="T136" s="710"/>
      <c r="U136" s="710"/>
      <c r="V136" s="710"/>
      <c r="W136" s="710"/>
      <c r="X136" s="711"/>
      <c r="Y136" s="283"/>
      <c r="Z136" s="283"/>
      <c r="AA136" s="283"/>
      <c r="AB136" s="283"/>
      <c r="AC136" s="283"/>
      <c r="AD136" s="283"/>
      <c r="AE136" s="283"/>
      <c r="AF136" s="283"/>
      <c r="AG136" s="283"/>
      <c r="AH136" s="283"/>
      <c r="AI136" s="283"/>
      <c r="AJ136" s="283"/>
      <c r="AK136" s="283"/>
      <c r="AL136" s="283"/>
      <c r="AM136" s="283"/>
      <c r="AN136" s="283"/>
      <c r="AO136" s="283"/>
      <c r="AP136" s="283"/>
      <c r="AQ136" s="283"/>
      <c r="AR136" s="78"/>
    </row>
    <row r="137" spans="1:44" ht="14.25" customHeight="1" hidden="1">
      <c r="A137" s="1"/>
      <c r="B137" s="603"/>
      <c r="C137" s="6"/>
      <c r="D137" s="820"/>
      <c r="E137" s="820"/>
      <c r="F137" s="820"/>
      <c r="G137" s="759"/>
      <c r="H137" s="689" t="s">
        <v>305</v>
      </c>
      <c r="I137" s="690"/>
      <c r="J137" s="690"/>
      <c r="K137" s="691"/>
      <c r="L137" s="689" t="s">
        <v>507</v>
      </c>
      <c r="M137" s="690"/>
      <c r="N137" s="690"/>
      <c r="O137" s="691"/>
      <c r="P137" s="689" t="s">
        <v>508</v>
      </c>
      <c r="Q137" s="690"/>
      <c r="R137" s="690"/>
      <c r="S137" s="691"/>
      <c r="T137" s="689" t="s">
        <v>121</v>
      </c>
      <c r="U137" s="690"/>
      <c r="V137" s="690"/>
      <c r="W137" s="690"/>
      <c r="X137" s="691"/>
      <c r="Y137" s="689" t="s">
        <v>122</v>
      </c>
      <c r="Z137" s="690"/>
      <c r="AA137" s="690"/>
      <c r="AB137" s="691"/>
      <c r="AC137" s="689" t="s">
        <v>509</v>
      </c>
      <c r="AD137" s="690"/>
      <c r="AE137" s="690"/>
      <c r="AF137" s="691"/>
      <c r="AG137" s="689" t="s">
        <v>309</v>
      </c>
      <c r="AH137" s="690"/>
      <c r="AI137" s="690"/>
      <c r="AJ137" s="690"/>
      <c r="AK137" s="691"/>
      <c r="AL137" s="735" t="s">
        <v>498</v>
      </c>
      <c r="AM137" s="736"/>
      <c r="AN137" s="736"/>
      <c r="AO137" s="736"/>
      <c r="AP137" s="736"/>
      <c r="AQ137" s="737"/>
      <c r="AR137" s="78"/>
    </row>
    <row r="138" spans="1:44" ht="14.25" customHeight="1" hidden="1">
      <c r="A138" s="1"/>
      <c r="B138" s="603"/>
      <c r="C138" s="6"/>
      <c r="D138" s="820"/>
      <c r="E138" s="820"/>
      <c r="F138" s="820"/>
      <c r="G138" s="759"/>
      <c r="H138" s="692"/>
      <c r="I138" s="693"/>
      <c r="J138" s="693"/>
      <c r="K138" s="694"/>
      <c r="L138" s="692"/>
      <c r="M138" s="693"/>
      <c r="N138" s="693"/>
      <c r="O138" s="694"/>
      <c r="P138" s="692"/>
      <c r="Q138" s="693"/>
      <c r="R138" s="693"/>
      <c r="S138" s="694"/>
      <c r="T138" s="692"/>
      <c r="U138" s="693"/>
      <c r="V138" s="693"/>
      <c r="W138" s="693"/>
      <c r="X138" s="694"/>
      <c r="Y138" s="692"/>
      <c r="Z138" s="693"/>
      <c r="AA138" s="693"/>
      <c r="AB138" s="694"/>
      <c r="AC138" s="692"/>
      <c r="AD138" s="693"/>
      <c r="AE138" s="693"/>
      <c r="AF138" s="694"/>
      <c r="AG138" s="717"/>
      <c r="AH138" s="718"/>
      <c r="AI138" s="718"/>
      <c r="AJ138" s="718"/>
      <c r="AK138" s="719"/>
      <c r="AL138" s="286"/>
      <c r="AM138" s="712"/>
      <c r="AN138" s="712"/>
      <c r="AO138" s="712"/>
      <c r="AP138" s="712"/>
      <c r="AQ138" s="713"/>
      <c r="AR138" s="78"/>
    </row>
    <row r="139" spans="1:44" ht="4.5" customHeight="1" hidden="1" thickBot="1">
      <c r="A139" s="1"/>
      <c r="B139" s="604"/>
      <c r="C139" s="15"/>
      <c r="D139" s="15"/>
      <c r="E139" s="15"/>
      <c r="F139" s="15"/>
      <c r="G139" s="1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79"/>
    </row>
    <row r="140" spans="1:45" ht="4.5" customHeight="1" hidden="1">
      <c r="A140" s="1"/>
      <c r="B140" s="799" t="s">
        <v>34</v>
      </c>
      <c r="C140" s="118"/>
      <c r="D140" s="803"/>
      <c r="E140" s="803"/>
      <c r="F140" s="803"/>
      <c r="G140" s="803"/>
      <c r="H140" s="803"/>
      <c r="I140" s="803"/>
      <c r="J140" s="803"/>
      <c r="K140" s="803"/>
      <c r="L140" s="803"/>
      <c r="M140" s="803"/>
      <c r="N140" s="803"/>
      <c r="O140" s="803"/>
      <c r="P140" s="803"/>
      <c r="Q140" s="803"/>
      <c r="R140" s="803"/>
      <c r="S140" s="803"/>
      <c r="T140" s="803"/>
      <c r="U140" s="803"/>
      <c r="V140" s="803"/>
      <c r="W140" s="803"/>
      <c r="X140" s="803"/>
      <c r="Y140" s="803"/>
      <c r="Z140" s="803"/>
      <c r="AA140" s="803"/>
      <c r="AB140" s="803"/>
      <c r="AC140" s="803"/>
      <c r="AD140" s="803"/>
      <c r="AE140" s="803"/>
      <c r="AF140" s="803"/>
      <c r="AG140" s="803"/>
      <c r="AH140" s="803"/>
      <c r="AI140" s="803"/>
      <c r="AJ140" s="803"/>
      <c r="AK140" s="803"/>
      <c r="AL140" s="803"/>
      <c r="AM140" s="803"/>
      <c r="AN140" s="803"/>
      <c r="AO140" s="803"/>
      <c r="AP140" s="803"/>
      <c r="AQ140" s="803"/>
      <c r="AR140" s="119"/>
      <c r="AS140" s="120"/>
    </row>
    <row r="141" spans="1:45" ht="12.75" customHeight="1" hidden="1">
      <c r="A141" s="1"/>
      <c r="B141" s="800"/>
      <c r="C141" s="121"/>
      <c r="D141" s="817" t="s">
        <v>478</v>
      </c>
      <c r="E141" s="818"/>
      <c r="F141" s="818"/>
      <c r="G141" s="818"/>
      <c r="H141" s="818"/>
      <c r="I141" s="818"/>
      <c r="J141" s="818"/>
      <c r="K141" s="818"/>
      <c r="L141" s="818"/>
      <c r="M141" s="818"/>
      <c r="N141" s="818"/>
      <c r="O141" s="818"/>
      <c r="P141" s="818"/>
      <c r="Q141" s="818"/>
      <c r="R141" s="818"/>
      <c r="S141" s="818"/>
      <c r="T141" s="818"/>
      <c r="U141" s="819"/>
      <c r="V141" s="695" t="s">
        <v>483</v>
      </c>
      <c r="W141" s="696"/>
      <c r="X141" s="696"/>
      <c r="Y141" s="696"/>
      <c r="Z141" s="696"/>
      <c r="AA141" s="696"/>
      <c r="AB141" s="696"/>
      <c r="AC141" s="696"/>
      <c r="AD141" s="696"/>
      <c r="AE141" s="696"/>
      <c r="AF141" s="696"/>
      <c r="AG141" s="696"/>
      <c r="AH141" s="696"/>
      <c r="AI141" s="834"/>
      <c r="AJ141" s="815" t="s">
        <v>482</v>
      </c>
      <c r="AK141" s="815"/>
      <c r="AL141" s="815"/>
      <c r="AM141" s="815"/>
      <c r="AN141" s="815"/>
      <c r="AO141" s="815"/>
      <c r="AP141" s="815"/>
      <c r="AQ141" s="816"/>
      <c r="AR141" s="273"/>
      <c r="AS141" s="120"/>
    </row>
    <row r="142" spans="1:45" ht="12.75" customHeight="1" hidden="1">
      <c r="A142" s="1"/>
      <c r="B142" s="800"/>
      <c r="C142" s="121"/>
      <c r="D142" s="779" t="s">
        <v>222</v>
      </c>
      <c r="E142" s="780"/>
      <c r="F142" s="780"/>
      <c r="G142" s="780"/>
      <c r="H142" s="780"/>
      <c r="I142" s="780"/>
      <c r="J142" s="780"/>
      <c r="K142" s="780"/>
      <c r="L142" s="780"/>
      <c r="M142" s="780"/>
      <c r="N142" s="780"/>
      <c r="O142" s="780"/>
      <c r="P142" s="780"/>
      <c r="Q142" s="780"/>
      <c r="R142" s="780"/>
      <c r="S142" s="780"/>
      <c r="T142" s="780"/>
      <c r="U142" s="781"/>
      <c r="V142" s="1003" t="s">
        <v>485</v>
      </c>
      <c r="W142" s="1004"/>
      <c r="X142" s="1004"/>
      <c r="Y142" s="1005"/>
      <c r="Z142" s="695" t="s">
        <v>484</v>
      </c>
      <c r="AA142" s="696"/>
      <c r="AB142" s="697"/>
      <c r="AC142" s="695" t="s">
        <v>479</v>
      </c>
      <c r="AD142" s="696"/>
      <c r="AE142" s="697"/>
      <c r="AF142" s="695" t="s">
        <v>126</v>
      </c>
      <c r="AG142" s="720"/>
      <c r="AH142" s="720"/>
      <c r="AI142" s="721"/>
      <c r="AJ142" s="696" t="s">
        <v>480</v>
      </c>
      <c r="AK142" s="720"/>
      <c r="AL142" s="790"/>
      <c r="AM142" s="695" t="s">
        <v>1142</v>
      </c>
      <c r="AN142" s="696"/>
      <c r="AO142" s="697"/>
      <c r="AP142" s="695" t="s">
        <v>461</v>
      </c>
      <c r="AQ142" s="697"/>
      <c r="AR142" s="124"/>
      <c r="AS142" s="120"/>
    </row>
    <row r="143" spans="1:45" ht="12.75" customHeight="1" hidden="1">
      <c r="A143" s="1"/>
      <c r="B143" s="800"/>
      <c r="C143" s="121"/>
      <c r="D143" s="680" t="e">
        <f>#REF!</f>
        <v>#REF!</v>
      </c>
      <c r="E143" s="681"/>
      <c r="F143" s="681"/>
      <c r="G143" s="681"/>
      <c r="H143" s="681"/>
      <c r="I143" s="681"/>
      <c r="J143" s="681"/>
      <c r="K143" s="681"/>
      <c r="L143" s="681"/>
      <c r="M143" s="681"/>
      <c r="N143" s="681"/>
      <c r="O143" s="681"/>
      <c r="P143" s="681"/>
      <c r="Q143" s="681"/>
      <c r="R143" s="681"/>
      <c r="S143" s="681"/>
      <c r="T143" s="681"/>
      <c r="U143" s="682"/>
      <c r="V143" s="683" t="e">
        <f>#REF!</f>
        <v>#REF!</v>
      </c>
      <c r="W143" s="684"/>
      <c r="X143" s="684"/>
      <c r="Y143" s="685"/>
      <c r="Z143" s="683" t="e">
        <f>#REF!</f>
        <v>#REF!</v>
      </c>
      <c r="AA143" s="684"/>
      <c r="AB143" s="685"/>
      <c r="AC143" s="683" t="e">
        <f>#REF!</f>
        <v>#REF!</v>
      </c>
      <c r="AD143" s="684"/>
      <c r="AE143" s="685"/>
      <c r="AF143" s="683" t="e">
        <f>#REF!</f>
        <v>#REF!</v>
      </c>
      <c r="AG143" s="720"/>
      <c r="AH143" s="720"/>
      <c r="AI143" s="721"/>
      <c r="AJ143" s="684" t="e">
        <f>#REF!</f>
        <v>#REF!</v>
      </c>
      <c r="AK143" s="720"/>
      <c r="AL143" s="790"/>
      <c r="AM143" s="683" t="e">
        <f>#REF!</f>
        <v>#REF!</v>
      </c>
      <c r="AN143" s="684"/>
      <c r="AO143" s="685"/>
      <c r="AP143" s="707" t="e">
        <f>IF(AF143=0,0,AJ143/AF143)</f>
        <v>#REF!</v>
      </c>
      <c r="AQ143" s="708"/>
      <c r="AR143" s="124"/>
      <c r="AS143" s="120"/>
    </row>
    <row r="144" spans="1:45" ht="12.75" customHeight="1" hidden="1">
      <c r="A144" s="1"/>
      <c r="B144" s="800"/>
      <c r="C144" s="121"/>
      <c r="D144" s="680" t="e">
        <f>#REF!</f>
        <v>#REF!</v>
      </c>
      <c r="E144" s="681"/>
      <c r="F144" s="681"/>
      <c r="G144" s="681"/>
      <c r="H144" s="681"/>
      <c r="I144" s="681"/>
      <c r="J144" s="681"/>
      <c r="K144" s="681"/>
      <c r="L144" s="681"/>
      <c r="M144" s="681"/>
      <c r="N144" s="681"/>
      <c r="O144" s="681"/>
      <c r="P144" s="681"/>
      <c r="Q144" s="681"/>
      <c r="R144" s="681"/>
      <c r="S144" s="681"/>
      <c r="T144" s="681"/>
      <c r="U144" s="682"/>
      <c r="V144" s="683" t="e">
        <f>#REF!</f>
        <v>#REF!</v>
      </c>
      <c r="W144" s="684"/>
      <c r="X144" s="684"/>
      <c r="Y144" s="685"/>
      <c r="Z144" s="683" t="e">
        <f>#REF!</f>
        <v>#REF!</v>
      </c>
      <c r="AA144" s="684"/>
      <c r="AB144" s="685"/>
      <c r="AC144" s="683" t="e">
        <f>#REF!</f>
        <v>#REF!</v>
      </c>
      <c r="AD144" s="684"/>
      <c r="AE144" s="685"/>
      <c r="AF144" s="683" t="e">
        <f>#REF!</f>
        <v>#REF!</v>
      </c>
      <c r="AG144" s="720"/>
      <c r="AH144" s="720"/>
      <c r="AI144" s="721"/>
      <c r="AJ144" s="684" t="e">
        <f>#REF!</f>
        <v>#REF!</v>
      </c>
      <c r="AK144" s="720"/>
      <c r="AL144" s="790"/>
      <c r="AM144" s="683" t="e">
        <f>#REF!</f>
        <v>#REF!</v>
      </c>
      <c r="AN144" s="684"/>
      <c r="AO144" s="685"/>
      <c r="AP144" s="707" t="e">
        <f>IF(AF144=0,0,AJ144/AF144)</f>
        <v>#REF!</v>
      </c>
      <c r="AQ144" s="708"/>
      <c r="AR144" s="124"/>
      <c r="AS144" s="120"/>
    </row>
    <row r="145" spans="1:45" ht="12.75" customHeight="1" hidden="1">
      <c r="A145" s="1"/>
      <c r="B145" s="800"/>
      <c r="C145" s="121"/>
      <c r="D145" s="680" t="e">
        <f>#REF!</f>
        <v>#REF!</v>
      </c>
      <c r="E145" s="681"/>
      <c r="F145" s="681"/>
      <c r="G145" s="681"/>
      <c r="H145" s="681"/>
      <c r="I145" s="681"/>
      <c r="J145" s="681"/>
      <c r="K145" s="681"/>
      <c r="L145" s="681"/>
      <c r="M145" s="681"/>
      <c r="N145" s="681"/>
      <c r="O145" s="681"/>
      <c r="P145" s="681"/>
      <c r="Q145" s="681"/>
      <c r="R145" s="681"/>
      <c r="S145" s="681"/>
      <c r="T145" s="681"/>
      <c r="U145" s="682"/>
      <c r="V145" s="683" t="e">
        <f>#REF!</f>
        <v>#REF!</v>
      </c>
      <c r="W145" s="684"/>
      <c r="X145" s="684"/>
      <c r="Y145" s="685"/>
      <c r="Z145" s="683" t="e">
        <f>#REF!</f>
        <v>#REF!</v>
      </c>
      <c r="AA145" s="684"/>
      <c r="AB145" s="685"/>
      <c r="AC145" s="683" t="e">
        <f>#REF!</f>
        <v>#REF!</v>
      </c>
      <c r="AD145" s="684"/>
      <c r="AE145" s="685"/>
      <c r="AF145" s="683" t="e">
        <f>#REF!</f>
        <v>#REF!</v>
      </c>
      <c r="AG145" s="720"/>
      <c r="AH145" s="720"/>
      <c r="AI145" s="721"/>
      <c r="AJ145" s="684" t="e">
        <f>#REF!</f>
        <v>#REF!</v>
      </c>
      <c r="AK145" s="720"/>
      <c r="AL145" s="790"/>
      <c r="AM145" s="683" t="e">
        <f>#REF!</f>
        <v>#REF!</v>
      </c>
      <c r="AN145" s="684"/>
      <c r="AO145" s="685"/>
      <c r="AP145" s="707" t="e">
        <f>IF(AF145=0,0,AJ145/AF145)</f>
        <v>#REF!</v>
      </c>
      <c r="AQ145" s="708"/>
      <c r="AR145" s="124"/>
      <c r="AS145" s="120"/>
    </row>
    <row r="146" spans="1:45" ht="12.75" customHeight="1" hidden="1">
      <c r="A146" s="1"/>
      <c r="B146" s="800"/>
      <c r="C146" s="121"/>
      <c r="D146" s="680" t="e">
        <f>#REF!</f>
        <v>#REF!</v>
      </c>
      <c r="E146" s="681"/>
      <c r="F146" s="681"/>
      <c r="G146" s="681"/>
      <c r="H146" s="681"/>
      <c r="I146" s="681"/>
      <c r="J146" s="681"/>
      <c r="K146" s="681"/>
      <c r="L146" s="681"/>
      <c r="M146" s="681"/>
      <c r="N146" s="681"/>
      <c r="O146" s="681"/>
      <c r="P146" s="681"/>
      <c r="Q146" s="681"/>
      <c r="R146" s="681"/>
      <c r="S146" s="681"/>
      <c r="T146" s="681"/>
      <c r="U146" s="682"/>
      <c r="V146" s="683" t="e">
        <f>#REF!</f>
        <v>#REF!</v>
      </c>
      <c r="W146" s="684"/>
      <c r="X146" s="684"/>
      <c r="Y146" s="685"/>
      <c r="Z146" s="683" t="e">
        <f>#REF!</f>
        <v>#REF!</v>
      </c>
      <c r="AA146" s="684"/>
      <c r="AB146" s="685"/>
      <c r="AC146" s="683" t="e">
        <f>#REF!</f>
        <v>#REF!</v>
      </c>
      <c r="AD146" s="684"/>
      <c r="AE146" s="685"/>
      <c r="AF146" s="683" t="e">
        <f>#REF!</f>
        <v>#REF!</v>
      </c>
      <c r="AG146" s="720"/>
      <c r="AH146" s="720"/>
      <c r="AI146" s="721"/>
      <c r="AJ146" s="684" t="e">
        <f>#REF!</f>
        <v>#REF!</v>
      </c>
      <c r="AK146" s="720"/>
      <c r="AL146" s="790"/>
      <c r="AM146" s="683" t="e">
        <f>#REF!</f>
        <v>#REF!</v>
      </c>
      <c r="AN146" s="684"/>
      <c r="AO146" s="685"/>
      <c r="AP146" s="707" t="e">
        <f>IF(AF146=0,0,AJ146/AF146)</f>
        <v>#REF!</v>
      </c>
      <c r="AQ146" s="708"/>
      <c r="AR146" s="124"/>
      <c r="AS146" s="120"/>
    </row>
    <row r="147" spans="1:45" ht="12.75" customHeight="1" hidden="1">
      <c r="A147" s="1"/>
      <c r="B147" s="800"/>
      <c r="C147" s="121"/>
      <c r="D147" s="680" t="e">
        <f>#REF!</f>
        <v>#REF!</v>
      </c>
      <c r="E147" s="681"/>
      <c r="F147" s="681"/>
      <c r="G147" s="681"/>
      <c r="H147" s="681"/>
      <c r="I147" s="681"/>
      <c r="J147" s="681"/>
      <c r="K147" s="681"/>
      <c r="L147" s="681"/>
      <c r="M147" s="681"/>
      <c r="N147" s="681"/>
      <c r="O147" s="681"/>
      <c r="P147" s="681"/>
      <c r="Q147" s="681"/>
      <c r="R147" s="681"/>
      <c r="S147" s="681"/>
      <c r="T147" s="681"/>
      <c r="U147" s="682"/>
      <c r="V147" s="683" t="e">
        <f>#REF!</f>
        <v>#REF!</v>
      </c>
      <c r="W147" s="684"/>
      <c r="X147" s="684"/>
      <c r="Y147" s="685"/>
      <c r="Z147" s="683" t="e">
        <f>#REF!</f>
        <v>#REF!</v>
      </c>
      <c r="AA147" s="684"/>
      <c r="AB147" s="685"/>
      <c r="AC147" s="683" t="e">
        <f>#REF!</f>
        <v>#REF!</v>
      </c>
      <c r="AD147" s="684"/>
      <c r="AE147" s="685"/>
      <c r="AF147" s="683" t="e">
        <f>#REF!</f>
        <v>#REF!</v>
      </c>
      <c r="AG147" s="720"/>
      <c r="AH147" s="720"/>
      <c r="AI147" s="721"/>
      <c r="AJ147" s="684" t="e">
        <f>#REF!</f>
        <v>#REF!</v>
      </c>
      <c r="AK147" s="720"/>
      <c r="AL147" s="790"/>
      <c r="AM147" s="683" t="e">
        <f>#REF!</f>
        <v>#REF!</v>
      </c>
      <c r="AN147" s="684"/>
      <c r="AO147" s="685"/>
      <c r="AP147" s="707" t="e">
        <f>IF(AF147=0,0,AJ147/AF147)</f>
        <v>#REF!</v>
      </c>
      <c r="AQ147" s="708"/>
      <c r="AR147" s="124"/>
      <c r="AS147" s="120"/>
    </row>
    <row r="148" spans="1:45" ht="12.75" customHeight="1" hidden="1">
      <c r="A148" s="1"/>
      <c r="B148" s="801"/>
      <c r="C148" s="125"/>
      <c r="D148" s="680" t="s">
        <v>227</v>
      </c>
      <c r="E148" s="681"/>
      <c r="F148" s="681"/>
      <c r="G148" s="681"/>
      <c r="H148" s="681"/>
      <c r="I148" s="681"/>
      <c r="J148" s="681"/>
      <c r="K148" s="681"/>
      <c r="L148" s="681"/>
      <c r="M148" s="681"/>
      <c r="N148" s="681"/>
      <c r="O148" s="681"/>
      <c r="P148" s="681"/>
      <c r="Q148" s="681"/>
      <c r="R148" s="681"/>
      <c r="S148" s="681"/>
      <c r="T148" s="681"/>
      <c r="U148" s="682"/>
      <c r="V148" s="683" t="e">
        <f>SUM(V143:Y147)</f>
        <v>#REF!</v>
      </c>
      <c r="W148" s="684"/>
      <c r="X148" s="684"/>
      <c r="Y148" s="685"/>
      <c r="Z148" s="714" t="e">
        <f>SUM(Z143:AB147)</f>
        <v>#REF!</v>
      </c>
      <c r="AA148" s="715"/>
      <c r="AB148" s="716"/>
      <c r="AC148" s="683" t="e">
        <f>SUM(AC143:AE147)</f>
        <v>#REF!</v>
      </c>
      <c r="AD148" s="684"/>
      <c r="AE148" s="685"/>
      <c r="AF148" s="787" t="e">
        <f>SUM(AF143:AI147)</f>
        <v>#REF!</v>
      </c>
      <c r="AG148" s="788"/>
      <c r="AH148" s="788"/>
      <c r="AI148" s="789"/>
      <c r="AJ148" s="684" t="e">
        <f>SUM(AJ143:AL147)</f>
        <v>#REF!</v>
      </c>
      <c r="AK148" s="720"/>
      <c r="AL148" s="790"/>
      <c r="AM148" s="683" t="e">
        <f>SUM(AM143:AO147)</f>
        <v>#REF!</v>
      </c>
      <c r="AN148" s="684"/>
      <c r="AO148" s="685"/>
      <c r="AP148" s="707" t="e">
        <f>SUM(AP143:AQ147)</f>
        <v>#REF!</v>
      </c>
      <c r="AQ148" s="708"/>
      <c r="AR148" s="124"/>
      <c r="AS148" s="120"/>
    </row>
    <row r="149" spans="1:45" ht="3" customHeight="1" hidden="1" thickBot="1">
      <c r="A149" s="1"/>
      <c r="B149" s="802"/>
      <c r="C149" s="126"/>
      <c r="D149" s="632"/>
      <c r="E149" s="632"/>
      <c r="F149" s="632"/>
      <c r="G149" s="632"/>
      <c r="H149" s="632"/>
      <c r="I149" s="632"/>
      <c r="J149" s="632"/>
      <c r="K149" s="632"/>
      <c r="L149" s="632"/>
      <c r="M149" s="632"/>
      <c r="N149" s="632"/>
      <c r="O149" s="632"/>
      <c r="P149" s="632"/>
      <c r="Q149" s="632"/>
      <c r="R149" s="632"/>
      <c r="S149" s="632"/>
      <c r="T149" s="632"/>
      <c r="U149" s="632"/>
      <c r="V149" s="632"/>
      <c r="W149" s="632"/>
      <c r="X149" s="632"/>
      <c r="Y149" s="632"/>
      <c r="Z149" s="632"/>
      <c r="AA149" s="632"/>
      <c r="AB149" s="632"/>
      <c r="AC149" s="632"/>
      <c r="AD149" s="632"/>
      <c r="AE149" s="632"/>
      <c r="AF149" s="632"/>
      <c r="AG149" s="632"/>
      <c r="AH149" s="632"/>
      <c r="AI149" s="632"/>
      <c r="AJ149" s="632"/>
      <c r="AK149" s="632"/>
      <c r="AL149" s="632"/>
      <c r="AM149" s="632"/>
      <c r="AN149" s="632"/>
      <c r="AO149" s="632"/>
      <c r="AP149" s="632"/>
      <c r="AQ149" s="632"/>
      <c r="AR149" s="127"/>
      <c r="AS149" s="120"/>
    </row>
    <row r="150" spans="1:44" ht="6" customHeight="1" hidden="1">
      <c r="A150" s="1"/>
      <c r="B150" s="804" t="s">
        <v>681</v>
      </c>
      <c r="C150" s="10"/>
      <c r="D150" s="808"/>
      <c r="E150" s="808"/>
      <c r="F150" s="808"/>
      <c r="G150" s="808"/>
      <c r="H150" s="808"/>
      <c r="I150" s="808"/>
      <c r="J150" s="808"/>
      <c r="K150" s="808"/>
      <c r="L150" s="808"/>
      <c r="M150" s="808"/>
      <c r="N150" s="808"/>
      <c r="O150" s="808"/>
      <c r="P150" s="808"/>
      <c r="Q150" s="808"/>
      <c r="R150" s="808"/>
      <c r="S150" s="808"/>
      <c r="T150" s="808"/>
      <c r="U150" s="808"/>
      <c r="V150" s="808"/>
      <c r="W150" s="808"/>
      <c r="X150" s="808"/>
      <c r="Y150" s="808"/>
      <c r="Z150" s="808"/>
      <c r="AA150" s="808"/>
      <c r="AB150" s="808"/>
      <c r="AC150" s="808"/>
      <c r="AD150" s="808"/>
      <c r="AE150" s="808"/>
      <c r="AF150" s="808"/>
      <c r="AG150" s="808"/>
      <c r="AH150" s="808"/>
      <c r="AI150" s="808"/>
      <c r="AJ150" s="808"/>
      <c r="AK150" s="808"/>
      <c r="AL150" s="808"/>
      <c r="AM150" s="808"/>
      <c r="AN150" s="808"/>
      <c r="AO150" s="808"/>
      <c r="AP150" s="808"/>
      <c r="AQ150" s="808"/>
      <c r="AR150" s="80"/>
    </row>
    <row r="151" spans="1:44" ht="12.75" customHeight="1" hidden="1">
      <c r="A151" s="1"/>
      <c r="B151" s="805"/>
      <c r="C151" s="10"/>
      <c r="D151" s="809" t="s">
        <v>35</v>
      </c>
      <c r="E151" s="810"/>
      <c r="F151" s="810"/>
      <c r="G151" s="810"/>
      <c r="H151" s="810"/>
      <c r="I151" s="810"/>
      <c r="J151" s="810"/>
      <c r="K151" s="810"/>
      <c r="L151" s="810"/>
      <c r="M151" s="810"/>
      <c r="N151" s="810"/>
      <c r="O151" s="810"/>
      <c r="P151" s="810"/>
      <c r="Q151" s="810"/>
      <c r="R151" s="810"/>
      <c r="S151" s="810"/>
      <c r="T151" s="810"/>
      <c r="U151" s="811"/>
      <c r="V151" s="785" t="s">
        <v>212</v>
      </c>
      <c r="W151" s="786"/>
      <c r="X151" s="786"/>
      <c r="Y151" s="786"/>
      <c r="Z151" s="786"/>
      <c r="AA151" s="786"/>
      <c r="AB151" s="786"/>
      <c r="AC151" s="786"/>
      <c r="AD151" s="786"/>
      <c r="AE151" s="786"/>
      <c r="AF151" s="786"/>
      <c r="AG151" s="786"/>
      <c r="AH151" s="786"/>
      <c r="AI151" s="786"/>
      <c r="AJ151" s="786"/>
      <c r="AK151" s="786"/>
      <c r="AL151" s="786"/>
      <c r="AM151" s="704">
        <v>0</v>
      </c>
      <c r="AN151" s="705"/>
      <c r="AO151" s="705"/>
      <c r="AP151" s="705"/>
      <c r="AQ151" s="706"/>
      <c r="AR151" s="81"/>
    </row>
    <row r="152" spans="1:44" ht="12.75" customHeight="1" hidden="1">
      <c r="A152" s="1"/>
      <c r="B152" s="805"/>
      <c r="C152" s="10"/>
      <c r="D152" s="812"/>
      <c r="E152" s="813"/>
      <c r="F152" s="813"/>
      <c r="G152" s="813"/>
      <c r="H152" s="813"/>
      <c r="I152" s="813"/>
      <c r="J152" s="813"/>
      <c r="K152" s="813"/>
      <c r="L152" s="813"/>
      <c r="M152" s="813"/>
      <c r="N152" s="813"/>
      <c r="O152" s="813"/>
      <c r="P152" s="813"/>
      <c r="Q152" s="813"/>
      <c r="R152" s="813"/>
      <c r="S152" s="813"/>
      <c r="T152" s="813"/>
      <c r="U152" s="814"/>
      <c r="V152" s="689" t="s">
        <v>481</v>
      </c>
      <c r="W152" s="690"/>
      <c r="X152" s="690"/>
      <c r="Y152" s="690"/>
      <c r="Z152" s="690"/>
      <c r="AA152" s="690"/>
      <c r="AB152" s="690"/>
      <c r="AC152" s="690"/>
      <c r="AD152" s="690"/>
      <c r="AE152" s="690"/>
      <c r="AF152" s="690"/>
      <c r="AG152" s="690"/>
      <c r="AH152" s="690"/>
      <c r="AI152" s="690"/>
      <c r="AJ152" s="690"/>
      <c r="AK152" s="690"/>
      <c r="AL152" s="690"/>
      <c r="AM152" s="690"/>
      <c r="AN152" s="690"/>
      <c r="AO152" s="690"/>
      <c r="AP152" s="690"/>
      <c r="AQ152" s="691"/>
      <c r="AR152" s="81"/>
    </row>
    <row r="153" spans="1:44" ht="12.75" customHeight="1" hidden="1">
      <c r="A153" s="1"/>
      <c r="B153" s="805"/>
      <c r="C153" s="5" t="s">
        <v>729</v>
      </c>
      <c r="D153" s="735" t="s">
        <v>730</v>
      </c>
      <c r="E153" s="736"/>
      <c r="F153" s="736"/>
      <c r="G153" s="737"/>
      <c r="H153" s="735" t="s">
        <v>221</v>
      </c>
      <c r="I153" s="736"/>
      <c r="J153" s="736"/>
      <c r="K153" s="736"/>
      <c r="L153" s="736"/>
      <c r="M153" s="736"/>
      <c r="N153" s="736"/>
      <c r="O153" s="736"/>
      <c r="P153" s="736"/>
      <c r="Q153" s="736"/>
      <c r="R153" s="736"/>
      <c r="S153" s="736"/>
      <c r="T153" s="736"/>
      <c r="U153" s="737"/>
      <c r="V153" s="689" t="s">
        <v>486</v>
      </c>
      <c r="W153" s="690"/>
      <c r="X153" s="690"/>
      <c r="Y153" s="691"/>
      <c r="Z153" s="695" t="s">
        <v>481</v>
      </c>
      <c r="AA153" s="696"/>
      <c r="AB153" s="697"/>
      <c r="AC153" s="695" t="s">
        <v>485</v>
      </c>
      <c r="AD153" s="696"/>
      <c r="AE153" s="697"/>
      <c r="AF153" s="695" t="s">
        <v>484</v>
      </c>
      <c r="AG153" s="720"/>
      <c r="AH153" s="720"/>
      <c r="AI153" s="790"/>
      <c r="AJ153" s="696" t="s">
        <v>479</v>
      </c>
      <c r="AK153" s="696"/>
      <c r="AL153" s="697"/>
      <c r="AM153" s="695" t="s">
        <v>126</v>
      </c>
      <c r="AN153" s="696"/>
      <c r="AO153" s="697"/>
      <c r="AP153" s="695" t="s">
        <v>461</v>
      </c>
      <c r="AQ153" s="697"/>
      <c r="AR153" s="80"/>
    </row>
    <row r="154" spans="1:48" ht="12.75" customHeight="1" hidden="1">
      <c r="A154" s="1"/>
      <c r="B154" s="805"/>
      <c r="C154" s="10" t="e">
        <f aca="true" ca="1" t="shared" si="9" ref="C154:C160">IF(D154&lt;&gt;"Choisir…",INDEX(OFFSET(Fin_Autre,,-1,,),MATCH(D154,Fin_Autre,0)),"")</f>
        <v>#N/A</v>
      </c>
      <c r="D154" s="680" t="s">
        <v>228</v>
      </c>
      <c r="E154" s="681"/>
      <c r="F154" s="681"/>
      <c r="G154" s="682"/>
      <c r="H154" s="680" t="s">
        <v>36</v>
      </c>
      <c r="I154" s="681"/>
      <c r="J154" s="681"/>
      <c r="K154" s="681"/>
      <c r="L154" s="681"/>
      <c r="M154" s="681"/>
      <c r="N154" s="681"/>
      <c r="O154" s="681"/>
      <c r="P154" s="681"/>
      <c r="Q154" s="681"/>
      <c r="R154" s="681"/>
      <c r="S154" s="681"/>
      <c r="T154" s="681"/>
      <c r="U154" s="682"/>
      <c r="V154" s="821" t="s">
        <v>487</v>
      </c>
      <c r="W154" s="822"/>
      <c r="X154" s="822"/>
      <c r="Y154" s="823"/>
      <c r="Z154" s="683" t="e">
        <f>#REF!+#REF!+#REF!+#REF!+#REF!</f>
        <v>#REF!</v>
      </c>
      <c r="AA154" s="684"/>
      <c r="AB154" s="685"/>
      <c r="AC154" s="683"/>
      <c r="AD154" s="684"/>
      <c r="AE154" s="685"/>
      <c r="AF154" s="683"/>
      <c r="AG154" s="701"/>
      <c r="AH154" s="701"/>
      <c r="AI154" s="702"/>
      <c r="AJ154" s="684"/>
      <c r="AK154" s="684"/>
      <c r="AL154" s="685"/>
      <c r="AM154" s="683" t="e">
        <f>SUM(Z154:AL154)</f>
        <v>#REF!</v>
      </c>
      <c r="AN154" s="684"/>
      <c r="AO154" s="685"/>
      <c r="AP154" s="707" t="e">
        <f aca="true" t="shared" si="10" ref="AP154:AP160">IF(AM$161=0,0,AM154/AM$161)</f>
        <v>#REF!</v>
      </c>
      <c r="AQ154" s="708"/>
      <c r="AR154" s="80"/>
      <c r="AT154" s="703"/>
      <c r="AU154" s="703"/>
      <c r="AV154" s="703"/>
    </row>
    <row r="155" spans="1:48" ht="12.75" customHeight="1" hidden="1">
      <c r="A155" s="1"/>
      <c r="B155" s="805"/>
      <c r="C155" s="10">
        <f ca="1" t="shared" si="9"/>
        <v>15</v>
      </c>
      <c r="D155" s="680" t="s">
        <v>220</v>
      </c>
      <c r="E155" s="681"/>
      <c r="F155" s="681"/>
      <c r="G155" s="682"/>
      <c r="H155" s="680">
        <f>IF(H11="","",H11)</f>
      </c>
      <c r="I155" s="681"/>
      <c r="J155" s="681"/>
      <c r="K155" s="681"/>
      <c r="L155" s="681"/>
      <c r="M155" s="681"/>
      <c r="N155" s="681"/>
      <c r="O155" s="681"/>
      <c r="P155" s="681"/>
      <c r="Q155" s="681"/>
      <c r="R155" s="681"/>
      <c r="S155" s="681"/>
      <c r="T155" s="681"/>
      <c r="U155" s="682"/>
      <c r="V155" s="712" t="s">
        <v>211</v>
      </c>
      <c r="W155" s="712"/>
      <c r="X155" s="712"/>
      <c r="Y155" s="713"/>
      <c r="Z155" s="683" t="e">
        <f>#REF!+#REF!+#REF!+#REF!+#REF!</f>
        <v>#REF!</v>
      </c>
      <c r="AA155" s="684"/>
      <c r="AB155" s="685"/>
      <c r="AC155" s="683" t="e">
        <f>#REF!+#REF!+#REF!+#REF!+#REF!</f>
        <v>#REF!</v>
      </c>
      <c r="AD155" s="684"/>
      <c r="AE155" s="685"/>
      <c r="AF155" s="683" t="e">
        <f>#REF!+#REF!+#REF!+#REF!+#REF!</f>
        <v>#REF!</v>
      </c>
      <c r="AG155" s="701"/>
      <c r="AH155" s="701"/>
      <c r="AI155" s="702"/>
      <c r="AJ155" s="684" t="e">
        <f>#REF!+#REF!+#REF!+#REF!+#REF!</f>
        <v>#REF!</v>
      </c>
      <c r="AK155" s="684"/>
      <c r="AL155" s="685"/>
      <c r="AM155" s="683" t="e">
        <f aca="true" t="shared" si="11" ref="AM155:AM160">SUM(Z155:AL155)</f>
        <v>#REF!</v>
      </c>
      <c r="AN155" s="684"/>
      <c r="AO155" s="685"/>
      <c r="AP155" s="707" t="e">
        <f t="shared" si="10"/>
        <v>#REF!</v>
      </c>
      <c r="AQ155" s="708"/>
      <c r="AR155" s="80"/>
      <c r="AT155" s="703"/>
      <c r="AU155" s="703"/>
      <c r="AV155" s="703"/>
    </row>
    <row r="156" spans="1:48" ht="12.75" customHeight="1" hidden="1">
      <c r="A156" s="1"/>
      <c r="B156" s="805"/>
      <c r="C156" s="10">
        <f ca="1" t="shared" si="9"/>
      </c>
      <c r="D156" s="686" t="s">
        <v>189</v>
      </c>
      <c r="E156" s="687"/>
      <c r="F156" s="687"/>
      <c r="G156" s="688"/>
      <c r="H156" s="686"/>
      <c r="I156" s="687"/>
      <c r="J156" s="687"/>
      <c r="K156" s="687"/>
      <c r="L156" s="687"/>
      <c r="M156" s="687"/>
      <c r="N156" s="687"/>
      <c r="O156" s="687"/>
      <c r="P156" s="687"/>
      <c r="Q156" s="687"/>
      <c r="R156" s="687"/>
      <c r="S156" s="687"/>
      <c r="T156" s="687"/>
      <c r="U156" s="688"/>
      <c r="V156" s="698" t="s">
        <v>189</v>
      </c>
      <c r="W156" s="699"/>
      <c r="X156" s="699"/>
      <c r="Y156" s="700"/>
      <c r="Z156" s="683" t="e">
        <f>#REF!+#REF!+#REF!+#REF!+#REF!</f>
        <v>#REF!</v>
      </c>
      <c r="AA156" s="684"/>
      <c r="AB156" s="685"/>
      <c r="AC156" s="683" t="e">
        <f>#REF!+#REF!+#REF!+#REF!+#REF!</f>
        <v>#REF!</v>
      </c>
      <c r="AD156" s="684"/>
      <c r="AE156" s="685"/>
      <c r="AF156" s="683" t="e">
        <f>#REF!+#REF!+#REF!+#REF!+#REF!</f>
        <v>#REF!</v>
      </c>
      <c r="AG156" s="701"/>
      <c r="AH156" s="701"/>
      <c r="AI156" s="702"/>
      <c r="AJ156" s="684" t="e">
        <f>#REF!+#REF!+#REF!+#REF!+#REF!</f>
        <v>#REF!</v>
      </c>
      <c r="AK156" s="684"/>
      <c r="AL156" s="685"/>
      <c r="AM156" s="683" t="e">
        <f t="shared" si="11"/>
        <v>#REF!</v>
      </c>
      <c r="AN156" s="684"/>
      <c r="AO156" s="685"/>
      <c r="AP156" s="707" t="e">
        <f t="shared" si="10"/>
        <v>#REF!</v>
      </c>
      <c r="AQ156" s="708"/>
      <c r="AR156" s="80"/>
      <c r="AT156" s="703"/>
      <c r="AU156" s="703"/>
      <c r="AV156" s="703"/>
    </row>
    <row r="157" spans="1:48" ht="12.75" customHeight="1" hidden="1">
      <c r="A157" s="1"/>
      <c r="B157" s="805"/>
      <c r="C157" s="10">
        <f ca="1" t="shared" si="9"/>
      </c>
      <c r="D157" s="686" t="s">
        <v>189</v>
      </c>
      <c r="E157" s="687"/>
      <c r="F157" s="687"/>
      <c r="G157" s="688"/>
      <c r="H157" s="686"/>
      <c r="I157" s="687"/>
      <c r="J157" s="687"/>
      <c r="K157" s="687"/>
      <c r="L157" s="687"/>
      <c r="M157" s="687"/>
      <c r="N157" s="687"/>
      <c r="O157" s="687"/>
      <c r="P157" s="687"/>
      <c r="Q157" s="687"/>
      <c r="R157" s="687"/>
      <c r="S157" s="687"/>
      <c r="T157" s="687"/>
      <c r="U157" s="688"/>
      <c r="V157" s="698" t="s">
        <v>189</v>
      </c>
      <c r="W157" s="699"/>
      <c r="X157" s="699"/>
      <c r="Y157" s="700"/>
      <c r="Z157" s="683" t="e">
        <f>#REF!+#REF!+#REF!+#REF!+#REF!</f>
        <v>#REF!</v>
      </c>
      <c r="AA157" s="684"/>
      <c r="AB157" s="685"/>
      <c r="AC157" s="683" t="e">
        <f>#REF!+#REF!+#REF!+#REF!+#REF!</f>
        <v>#REF!</v>
      </c>
      <c r="AD157" s="684"/>
      <c r="AE157" s="685"/>
      <c r="AF157" s="683" t="e">
        <f>#REF!+#REF!+#REF!+#REF!+#REF!</f>
        <v>#REF!</v>
      </c>
      <c r="AG157" s="701"/>
      <c r="AH157" s="701"/>
      <c r="AI157" s="702"/>
      <c r="AJ157" s="684" t="e">
        <f>#REF!+#REF!+#REF!+#REF!+#REF!</f>
        <v>#REF!</v>
      </c>
      <c r="AK157" s="684"/>
      <c r="AL157" s="685"/>
      <c r="AM157" s="683" t="e">
        <f t="shared" si="11"/>
        <v>#REF!</v>
      </c>
      <c r="AN157" s="684"/>
      <c r="AO157" s="685"/>
      <c r="AP157" s="707" t="e">
        <f t="shared" si="10"/>
        <v>#REF!</v>
      </c>
      <c r="AQ157" s="708"/>
      <c r="AR157" s="80"/>
      <c r="AT157" s="703"/>
      <c r="AU157" s="703"/>
      <c r="AV157" s="703"/>
    </row>
    <row r="158" spans="1:48" ht="12.75" customHeight="1" hidden="1">
      <c r="A158" s="1"/>
      <c r="B158" s="805"/>
      <c r="C158" s="10">
        <f ca="1" t="shared" si="9"/>
      </c>
      <c r="D158" s="686" t="s">
        <v>189</v>
      </c>
      <c r="E158" s="687"/>
      <c r="F158" s="687"/>
      <c r="G158" s="688"/>
      <c r="H158" s="686"/>
      <c r="I158" s="687"/>
      <c r="J158" s="687"/>
      <c r="K158" s="687"/>
      <c r="L158" s="687"/>
      <c r="M158" s="687"/>
      <c r="N158" s="687"/>
      <c r="O158" s="687"/>
      <c r="P158" s="687"/>
      <c r="Q158" s="687"/>
      <c r="R158" s="687"/>
      <c r="S158" s="687"/>
      <c r="T158" s="687"/>
      <c r="U158" s="688"/>
      <c r="V158" s="698" t="s">
        <v>189</v>
      </c>
      <c r="W158" s="699"/>
      <c r="X158" s="699"/>
      <c r="Y158" s="700"/>
      <c r="Z158" s="683" t="e">
        <f>#REF!+#REF!+#REF!+#REF!+#REF!</f>
        <v>#REF!</v>
      </c>
      <c r="AA158" s="684"/>
      <c r="AB158" s="685"/>
      <c r="AC158" s="683" t="e">
        <f>#REF!+#REF!+#REF!+#REF!+#REF!</f>
        <v>#REF!</v>
      </c>
      <c r="AD158" s="684"/>
      <c r="AE158" s="685"/>
      <c r="AF158" s="683" t="e">
        <f>#REF!+#REF!+#REF!+#REF!+#REF!</f>
        <v>#REF!</v>
      </c>
      <c r="AG158" s="701"/>
      <c r="AH158" s="701"/>
      <c r="AI158" s="702"/>
      <c r="AJ158" s="684" t="e">
        <f>#REF!+#REF!+#REF!+#REF!+#REF!</f>
        <v>#REF!</v>
      </c>
      <c r="AK158" s="684"/>
      <c r="AL158" s="685"/>
      <c r="AM158" s="683" t="e">
        <f t="shared" si="11"/>
        <v>#REF!</v>
      </c>
      <c r="AN158" s="684"/>
      <c r="AO158" s="685"/>
      <c r="AP158" s="707" t="e">
        <f t="shared" si="10"/>
        <v>#REF!</v>
      </c>
      <c r="AQ158" s="708"/>
      <c r="AR158" s="80"/>
      <c r="AT158" s="703"/>
      <c r="AU158" s="703"/>
      <c r="AV158" s="703"/>
    </row>
    <row r="159" spans="1:48" ht="12.75" customHeight="1" hidden="1">
      <c r="A159" s="1"/>
      <c r="B159" s="806"/>
      <c r="C159" s="10">
        <f ca="1" t="shared" si="9"/>
      </c>
      <c r="D159" s="686" t="s">
        <v>189</v>
      </c>
      <c r="E159" s="687"/>
      <c r="F159" s="687"/>
      <c r="G159" s="688"/>
      <c r="H159" s="686"/>
      <c r="I159" s="687"/>
      <c r="J159" s="687"/>
      <c r="K159" s="687"/>
      <c r="L159" s="687"/>
      <c r="M159" s="687"/>
      <c r="N159" s="687"/>
      <c r="O159" s="687"/>
      <c r="P159" s="687"/>
      <c r="Q159" s="687"/>
      <c r="R159" s="687"/>
      <c r="S159" s="687"/>
      <c r="T159" s="687"/>
      <c r="U159" s="688"/>
      <c r="V159" s="698" t="s">
        <v>189</v>
      </c>
      <c r="W159" s="699"/>
      <c r="X159" s="699"/>
      <c r="Y159" s="700"/>
      <c r="Z159" s="683" t="e">
        <f>#REF!+#REF!+#REF!+#REF!+#REF!</f>
        <v>#REF!</v>
      </c>
      <c r="AA159" s="684"/>
      <c r="AB159" s="685"/>
      <c r="AC159" s="683" t="e">
        <f>#REF!+#REF!+#REF!+#REF!+#REF!</f>
        <v>#REF!</v>
      </c>
      <c r="AD159" s="684"/>
      <c r="AE159" s="685"/>
      <c r="AF159" s="683" t="e">
        <f>#REF!+#REF!+#REF!+#REF!+#REF!</f>
        <v>#REF!</v>
      </c>
      <c r="AG159" s="701"/>
      <c r="AH159" s="701"/>
      <c r="AI159" s="702"/>
      <c r="AJ159" s="684" t="e">
        <f>#REF!+#REF!+#REF!+#REF!+#REF!</f>
        <v>#REF!</v>
      </c>
      <c r="AK159" s="684"/>
      <c r="AL159" s="685"/>
      <c r="AM159" s="683" t="e">
        <f t="shared" si="11"/>
        <v>#REF!</v>
      </c>
      <c r="AN159" s="684"/>
      <c r="AO159" s="685"/>
      <c r="AP159" s="707" t="e">
        <f t="shared" si="10"/>
        <v>#REF!</v>
      </c>
      <c r="AQ159" s="708"/>
      <c r="AR159" s="80"/>
      <c r="AT159" s="703"/>
      <c r="AU159" s="703"/>
      <c r="AV159" s="703"/>
    </row>
    <row r="160" spans="1:48" ht="12.75" customHeight="1" hidden="1">
      <c r="A160" s="1"/>
      <c r="B160" s="806"/>
      <c r="C160" s="10">
        <f ca="1" t="shared" si="9"/>
      </c>
      <c r="D160" s="686" t="s">
        <v>189</v>
      </c>
      <c r="E160" s="687"/>
      <c r="F160" s="687"/>
      <c r="G160" s="688"/>
      <c r="H160" s="686"/>
      <c r="I160" s="687"/>
      <c r="J160" s="687"/>
      <c r="K160" s="687"/>
      <c r="L160" s="687"/>
      <c r="M160" s="687"/>
      <c r="N160" s="687"/>
      <c r="O160" s="687"/>
      <c r="P160" s="687"/>
      <c r="Q160" s="687"/>
      <c r="R160" s="687"/>
      <c r="S160" s="687"/>
      <c r="T160" s="687"/>
      <c r="U160" s="688"/>
      <c r="V160" s="698" t="s">
        <v>189</v>
      </c>
      <c r="W160" s="699"/>
      <c r="X160" s="699"/>
      <c r="Y160" s="700"/>
      <c r="Z160" s="683" t="e">
        <f>#REF!+#REF!+#REF!+#REF!+#REF!</f>
        <v>#REF!</v>
      </c>
      <c r="AA160" s="684"/>
      <c r="AB160" s="685"/>
      <c r="AC160" s="683" t="e">
        <f>#REF!+#REF!+#REF!+#REF!+#REF!</f>
        <v>#REF!</v>
      </c>
      <c r="AD160" s="684"/>
      <c r="AE160" s="685"/>
      <c r="AF160" s="683" t="e">
        <f>#REF!+#REF!+#REF!+#REF!+#REF!</f>
        <v>#REF!</v>
      </c>
      <c r="AG160" s="701"/>
      <c r="AH160" s="701"/>
      <c r="AI160" s="702"/>
      <c r="AJ160" s="684" t="e">
        <f>#REF!+#REF!+#REF!+#REF!+#REF!</f>
        <v>#REF!</v>
      </c>
      <c r="AK160" s="684"/>
      <c r="AL160" s="685"/>
      <c r="AM160" s="683" t="e">
        <f t="shared" si="11"/>
        <v>#REF!</v>
      </c>
      <c r="AN160" s="684"/>
      <c r="AO160" s="685"/>
      <c r="AP160" s="707" t="e">
        <f t="shared" si="10"/>
        <v>#REF!</v>
      </c>
      <c r="AQ160" s="708"/>
      <c r="AR160" s="80"/>
      <c r="AT160" s="703"/>
      <c r="AU160" s="703"/>
      <c r="AV160" s="703"/>
    </row>
    <row r="161" spans="1:44" ht="12.75" customHeight="1" hidden="1">
      <c r="A161" s="1"/>
      <c r="B161" s="806"/>
      <c r="C161" s="108"/>
      <c r="D161" s="861" t="s">
        <v>226</v>
      </c>
      <c r="E161" s="862"/>
      <c r="F161" s="862"/>
      <c r="G161" s="862"/>
      <c r="H161" s="862"/>
      <c r="I161" s="862"/>
      <c r="J161" s="862"/>
      <c r="K161" s="862"/>
      <c r="L161" s="862"/>
      <c r="M161" s="862"/>
      <c r="N161" s="862"/>
      <c r="O161" s="862"/>
      <c r="P161" s="862"/>
      <c r="Q161" s="862"/>
      <c r="R161" s="862"/>
      <c r="S161" s="862"/>
      <c r="T161" s="862"/>
      <c r="U161" s="862"/>
      <c r="V161" s="862"/>
      <c r="W161" s="862"/>
      <c r="X161" s="862"/>
      <c r="Y161" s="863"/>
      <c r="Z161" s="714" t="e">
        <f>SUM(Z156:AB160)</f>
        <v>#REF!</v>
      </c>
      <c r="AA161" s="715"/>
      <c r="AB161" s="716"/>
      <c r="AC161" s="683" t="e">
        <f>SUM(AC154:AE160)</f>
        <v>#REF!</v>
      </c>
      <c r="AD161" s="684"/>
      <c r="AE161" s="685"/>
      <c r="AF161" s="683" t="e">
        <f>SUM(AF154:AI160)</f>
        <v>#REF!</v>
      </c>
      <c r="AG161" s="701"/>
      <c r="AH161" s="701"/>
      <c r="AI161" s="702"/>
      <c r="AJ161" s="684" t="e">
        <f>SUM(AJ156:AL160)</f>
        <v>#REF!</v>
      </c>
      <c r="AK161" s="684"/>
      <c r="AL161" s="685"/>
      <c r="AM161" s="787" t="e">
        <f>SUM(AM154:AO160)</f>
        <v>#REF!</v>
      </c>
      <c r="AN161" s="913"/>
      <c r="AO161" s="914"/>
      <c r="AP161" s="707" t="e">
        <f>SUM(AP154:AQ160)</f>
        <v>#REF!</v>
      </c>
      <c r="AQ161" s="708"/>
      <c r="AR161" s="80"/>
    </row>
    <row r="162" spans="1:44" ht="3.75" customHeight="1" hidden="1" thickBot="1">
      <c r="A162" s="1"/>
      <c r="B162" s="807"/>
      <c r="C162" s="14"/>
      <c r="D162" s="709"/>
      <c r="E162" s="709"/>
      <c r="F162" s="709"/>
      <c r="G162" s="709"/>
      <c r="H162" s="709"/>
      <c r="I162" s="709"/>
      <c r="J162" s="709"/>
      <c r="K162" s="709"/>
      <c r="L162" s="709"/>
      <c r="M162" s="709"/>
      <c r="N162" s="709"/>
      <c r="O162" s="709"/>
      <c r="P162" s="709"/>
      <c r="Q162" s="709"/>
      <c r="R162" s="709"/>
      <c r="S162" s="709"/>
      <c r="T162" s="709"/>
      <c r="U162" s="709"/>
      <c r="V162" s="709"/>
      <c r="W162" s="709"/>
      <c r="X162" s="709"/>
      <c r="Y162" s="709"/>
      <c r="Z162" s="709"/>
      <c r="AA162" s="709"/>
      <c r="AB162" s="709"/>
      <c r="AC162" s="709"/>
      <c r="AD162" s="709"/>
      <c r="AE162" s="709"/>
      <c r="AF162" s="709"/>
      <c r="AG162" s="709"/>
      <c r="AH162" s="709"/>
      <c r="AI162" s="709"/>
      <c r="AJ162" s="709"/>
      <c r="AK162" s="709"/>
      <c r="AL162" s="709"/>
      <c r="AM162" s="709"/>
      <c r="AN162" s="709"/>
      <c r="AO162" s="709"/>
      <c r="AP162" s="709"/>
      <c r="AQ162" s="709"/>
      <c r="AR162" s="16"/>
    </row>
    <row r="163" spans="1:45" ht="4.5" customHeight="1">
      <c r="A163" s="1"/>
      <c r="B163" s="602" t="s">
        <v>34</v>
      </c>
      <c r="C163" s="118"/>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3"/>
      <c r="AJ163" s="803"/>
      <c r="AK163" s="803"/>
      <c r="AL163" s="803"/>
      <c r="AM163" s="803"/>
      <c r="AN163" s="803"/>
      <c r="AO163" s="803"/>
      <c r="AP163" s="803"/>
      <c r="AQ163" s="803"/>
      <c r="AR163" s="119"/>
      <c r="AS163" s="120"/>
    </row>
    <row r="164" spans="1:45" ht="12.75" customHeight="1">
      <c r="A164" s="1"/>
      <c r="B164" s="603"/>
      <c r="C164" s="121"/>
      <c r="D164" s="864" t="s">
        <v>823</v>
      </c>
      <c r="E164" s="865"/>
      <c r="F164" s="865"/>
      <c r="G164" s="865"/>
      <c r="H164" s="939" t="str">
        <f>IF(Data!B56=FALSE,"(remplissez l'onglet Rapport détaillé des coûts)","")</f>
        <v>(remplissez l'onglet Rapport détaillé des coûts)</v>
      </c>
      <c r="I164" s="939"/>
      <c r="J164" s="939"/>
      <c r="K164" s="939"/>
      <c r="L164" s="939"/>
      <c r="M164" s="939"/>
      <c r="N164" s="939"/>
      <c r="O164" s="939"/>
      <c r="P164" s="939"/>
      <c r="Q164" s="940"/>
      <c r="R164" s="941" t="s">
        <v>993</v>
      </c>
      <c r="S164" s="942"/>
      <c r="T164" s="942"/>
      <c r="U164" s="942"/>
      <c r="V164" s="942"/>
      <c r="W164" s="942"/>
      <c r="X164" s="942"/>
      <c r="Y164" s="942"/>
      <c r="Z164" s="942"/>
      <c r="AA164" s="942"/>
      <c r="AB164" s="942"/>
      <c r="AC164" s="942"/>
      <c r="AD164" s="943"/>
      <c r="AE164" s="899" t="s">
        <v>994</v>
      </c>
      <c r="AF164" s="900"/>
      <c r="AG164" s="900"/>
      <c r="AH164" s="900"/>
      <c r="AI164" s="900"/>
      <c r="AJ164" s="900"/>
      <c r="AK164" s="900"/>
      <c r="AL164" s="900"/>
      <c r="AM164" s="900"/>
      <c r="AN164" s="900"/>
      <c r="AO164" s="900"/>
      <c r="AP164" s="900"/>
      <c r="AQ164" s="901"/>
      <c r="AR164" s="536" t="b">
        <f>OR(Data!B56,Data!B61)</f>
        <v>0</v>
      </c>
      <c r="AS164" s="120"/>
    </row>
    <row r="165" spans="1:45" ht="12.75" customHeight="1">
      <c r="A165" s="1"/>
      <c r="B165" s="603"/>
      <c r="C165" s="121"/>
      <c r="D165" s="452" t="s">
        <v>222</v>
      </c>
      <c r="E165" s="453"/>
      <c r="F165" s="453"/>
      <c r="G165" s="453"/>
      <c r="H165" s="453"/>
      <c r="I165" s="453"/>
      <c r="J165" s="453"/>
      <c r="K165" s="453"/>
      <c r="L165" s="453"/>
      <c r="M165" s="453"/>
      <c r="N165" s="453"/>
      <c r="O165" s="453"/>
      <c r="P165" s="453"/>
      <c r="Q165" s="453"/>
      <c r="R165" s="915" t="s">
        <v>224</v>
      </c>
      <c r="S165" s="916"/>
      <c r="T165" s="916"/>
      <c r="U165" s="917"/>
      <c r="V165" s="915" t="s">
        <v>225</v>
      </c>
      <c r="W165" s="916"/>
      <c r="X165" s="916"/>
      <c r="Y165" s="916"/>
      <c r="Z165" s="917"/>
      <c r="AA165" s="750" t="s">
        <v>126</v>
      </c>
      <c r="AB165" s="751"/>
      <c r="AC165" s="751"/>
      <c r="AD165" s="752"/>
      <c r="AE165" s="915" t="s">
        <v>224</v>
      </c>
      <c r="AF165" s="916"/>
      <c r="AG165" s="916"/>
      <c r="AH165" s="916"/>
      <c r="AI165" s="917"/>
      <c r="AJ165" s="915" t="s">
        <v>225</v>
      </c>
      <c r="AK165" s="916"/>
      <c r="AL165" s="916"/>
      <c r="AM165" s="917"/>
      <c r="AN165" s="750" t="s">
        <v>126</v>
      </c>
      <c r="AO165" s="751"/>
      <c r="AP165" s="751"/>
      <c r="AQ165" s="752"/>
      <c r="AR165" s="124"/>
      <c r="AS165" s="120"/>
    </row>
    <row r="166" spans="1:45" ht="12.75" customHeight="1">
      <c r="A166" s="1"/>
      <c r="B166" s="603"/>
      <c r="C166" s="121"/>
      <c r="D166" s="680" t="str">
        <f>'3.1 Rapport détaillé des coûts'!A16</f>
        <v>A. Acquisition équipement/matériel</v>
      </c>
      <c r="E166" s="681"/>
      <c r="F166" s="681"/>
      <c r="G166" s="681"/>
      <c r="H166" s="681"/>
      <c r="I166" s="681"/>
      <c r="J166" s="681"/>
      <c r="K166" s="681"/>
      <c r="L166" s="681"/>
      <c r="M166" s="681"/>
      <c r="N166" s="681"/>
      <c r="O166" s="681"/>
      <c r="P166" s="681"/>
      <c r="Q166" s="681"/>
      <c r="R166" s="866">
        <v>0</v>
      </c>
      <c r="S166" s="867"/>
      <c r="T166" s="867"/>
      <c r="U166" s="867"/>
      <c r="V166" s="866">
        <v>0</v>
      </c>
      <c r="W166" s="867"/>
      <c r="X166" s="867"/>
      <c r="Y166" s="867"/>
      <c r="Z166" s="868"/>
      <c r="AA166" s="684">
        <f aca="true" t="shared" si="12" ref="AA166:AA171">R166+V166</f>
        <v>0</v>
      </c>
      <c r="AB166" s="684"/>
      <c r="AC166" s="684"/>
      <c r="AD166" s="684"/>
      <c r="AE166" s="972">
        <v>0</v>
      </c>
      <c r="AF166" s="973"/>
      <c r="AG166" s="973"/>
      <c r="AH166" s="973"/>
      <c r="AI166" s="974"/>
      <c r="AJ166" s="866">
        <v>0</v>
      </c>
      <c r="AK166" s="867"/>
      <c r="AL166" s="867"/>
      <c r="AM166" s="868"/>
      <c r="AN166" s="684">
        <f aca="true" t="shared" si="13" ref="AN166:AN171">AE166+AJ166</f>
        <v>0</v>
      </c>
      <c r="AO166" s="684"/>
      <c r="AP166" s="684"/>
      <c r="AQ166" s="685"/>
      <c r="AR166" s="124"/>
      <c r="AS166" s="120"/>
    </row>
    <row r="167" spans="1:45" ht="12.75" customHeight="1">
      <c r="A167" s="1"/>
      <c r="B167" s="603"/>
      <c r="C167" s="121"/>
      <c r="D167" s="680" t="str">
        <f>'3.1 Rapport détaillé des coûts'!A30</f>
        <v>B. Acquisition de l'équipement de mesurage</v>
      </c>
      <c r="E167" s="681"/>
      <c r="F167" s="681"/>
      <c r="G167" s="681"/>
      <c r="H167" s="681"/>
      <c r="I167" s="681"/>
      <c r="J167" s="681"/>
      <c r="K167" s="681"/>
      <c r="L167" s="681"/>
      <c r="M167" s="681"/>
      <c r="N167" s="681"/>
      <c r="O167" s="681"/>
      <c r="P167" s="681"/>
      <c r="Q167" s="681"/>
      <c r="R167" s="866">
        <v>0</v>
      </c>
      <c r="S167" s="867"/>
      <c r="T167" s="867"/>
      <c r="U167" s="867"/>
      <c r="V167" s="866">
        <v>0</v>
      </c>
      <c r="W167" s="867"/>
      <c r="X167" s="867"/>
      <c r="Y167" s="867"/>
      <c r="Z167" s="868"/>
      <c r="AA167" s="684">
        <f t="shared" si="12"/>
        <v>0</v>
      </c>
      <c r="AB167" s="684"/>
      <c r="AC167" s="684"/>
      <c r="AD167" s="684"/>
      <c r="AE167" s="866">
        <v>0</v>
      </c>
      <c r="AF167" s="867"/>
      <c r="AG167" s="867"/>
      <c r="AH167" s="867"/>
      <c r="AI167" s="867"/>
      <c r="AJ167" s="866">
        <v>0</v>
      </c>
      <c r="AK167" s="867"/>
      <c r="AL167" s="867"/>
      <c r="AM167" s="868"/>
      <c r="AN167" s="684">
        <f t="shared" si="13"/>
        <v>0</v>
      </c>
      <c r="AO167" s="684"/>
      <c r="AP167" s="684"/>
      <c r="AQ167" s="685"/>
      <c r="AR167" s="124"/>
      <c r="AS167" s="120"/>
    </row>
    <row r="168" spans="1:45" ht="12.75" customHeight="1">
      <c r="A168" s="1"/>
      <c r="B168" s="603"/>
      <c r="C168" s="121"/>
      <c r="D168" s="680" t="str">
        <f>'3.1 Rapport détaillé des coûts'!A42</f>
        <v>C. Mesurage, quantification et vérification</v>
      </c>
      <c r="E168" s="681"/>
      <c r="F168" s="681"/>
      <c r="G168" s="681"/>
      <c r="H168" s="681"/>
      <c r="I168" s="681"/>
      <c r="J168" s="681"/>
      <c r="K168" s="681"/>
      <c r="L168" s="681"/>
      <c r="M168" s="681"/>
      <c r="N168" s="681"/>
      <c r="O168" s="681"/>
      <c r="P168" s="681"/>
      <c r="Q168" s="681"/>
      <c r="R168" s="866">
        <v>0</v>
      </c>
      <c r="S168" s="867"/>
      <c r="T168" s="867"/>
      <c r="U168" s="867"/>
      <c r="V168" s="866">
        <v>0</v>
      </c>
      <c r="W168" s="867"/>
      <c r="X168" s="867"/>
      <c r="Y168" s="867"/>
      <c r="Z168" s="868"/>
      <c r="AA168" s="684">
        <f t="shared" si="12"/>
        <v>0</v>
      </c>
      <c r="AB168" s="684"/>
      <c r="AC168" s="684"/>
      <c r="AD168" s="684"/>
      <c r="AE168" s="866">
        <v>0</v>
      </c>
      <c r="AF168" s="867"/>
      <c r="AG168" s="867"/>
      <c r="AH168" s="867"/>
      <c r="AI168" s="867"/>
      <c r="AJ168" s="866">
        <v>0</v>
      </c>
      <c r="AK168" s="867"/>
      <c r="AL168" s="867"/>
      <c r="AM168" s="868"/>
      <c r="AN168" s="684">
        <f t="shared" si="13"/>
        <v>0</v>
      </c>
      <c r="AO168" s="684"/>
      <c r="AP168" s="684"/>
      <c r="AQ168" s="685"/>
      <c r="AR168" s="124"/>
      <c r="AS168" s="120"/>
    </row>
    <row r="169" spans="1:45" ht="12.75" customHeight="1">
      <c r="A169" s="1"/>
      <c r="B169" s="603"/>
      <c r="C169" s="121"/>
      <c r="D169" s="680" t="str">
        <f>'3.1 Rapport détaillé des coûts'!A50</f>
        <v>D. Ingénierie ou services professionnels</v>
      </c>
      <c r="E169" s="681"/>
      <c r="F169" s="681"/>
      <c r="G169" s="681"/>
      <c r="H169" s="681"/>
      <c r="I169" s="681"/>
      <c r="J169" s="681"/>
      <c r="K169" s="681"/>
      <c r="L169" s="681"/>
      <c r="M169" s="681"/>
      <c r="N169" s="681"/>
      <c r="O169" s="681"/>
      <c r="P169" s="681"/>
      <c r="Q169" s="681"/>
      <c r="R169" s="866">
        <v>0</v>
      </c>
      <c r="S169" s="867"/>
      <c r="T169" s="867"/>
      <c r="U169" s="867"/>
      <c r="V169" s="866">
        <v>0</v>
      </c>
      <c r="W169" s="867"/>
      <c r="X169" s="867"/>
      <c r="Y169" s="867"/>
      <c r="Z169" s="868"/>
      <c r="AA169" s="684">
        <f t="shared" si="12"/>
        <v>0</v>
      </c>
      <c r="AB169" s="684"/>
      <c r="AC169" s="684"/>
      <c r="AD169" s="684"/>
      <c r="AE169" s="866">
        <v>0</v>
      </c>
      <c r="AF169" s="867"/>
      <c r="AG169" s="867"/>
      <c r="AH169" s="867"/>
      <c r="AI169" s="867"/>
      <c r="AJ169" s="866">
        <v>0</v>
      </c>
      <c r="AK169" s="867"/>
      <c r="AL169" s="867"/>
      <c r="AM169" s="868"/>
      <c r="AN169" s="684">
        <f t="shared" si="13"/>
        <v>0</v>
      </c>
      <c r="AO169" s="684"/>
      <c r="AP169" s="684"/>
      <c r="AQ169" s="685"/>
      <c r="AR169" s="124"/>
      <c r="AS169" s="120"/>
    </row>
    <row r="170" spans="1:45" ht="12.75" customHeight="1">
      <c r="A170" s="1"/>
      <c r="B170" s="603"/>
      <c r="C170" s="121"/>
      <c r="D170" s="680" t="str">
        <f>'3.1 Rapport détaillé des coûts'!A58</f>
        <v>E. Installation et mise en fonction</v>
      </c>
      <c r="E170" s="681"/>
      <c r="F170" s="681"/>
      <c r="G170" s="681"/>
      <c r="H170" s="681"/>
      <c r="I170" s="681"/>
      <c r="J170" s="681"/>
      <c r="K170" s="681"/>
      <c r="L170" s="681"/>
      <c r="M170" s="681"/>
      <c r="N170" s="681"/>
      <c r="O170" s="681"/>
      <c r="P170" s="681"/>
      <c r="Q170" s="681"/>
      <c r="R170" s="866">
        <v>0</v>
      </c>
      <c r="S170" s="867"/>
      <c r="T170" s="867"/>
      <c r="U170" s="867"/>
      <c r="V170" s="866">
        <v>0</v>
      </c>
      <c r="W170" s="867"/>
      <c r="X170" s="867"/>
      <c r="Y170" s="867"/>
      <c r="Z170" s="868"/>
      <c r="AA170" s="684">
        <f t="shared" si="12"/>
        <v>0</v>
      </c>
      <c r="AB170" s="684"/>
      <c r="AC170" s="684"/>
      <c r="AD170" s="684"/>
      <c r="AE170" s="866">
        <v>0</v>
      </c>
      <c r="AF170" s="867"/>
      <c r="AG170" s="867"/>
      <c r="AH170" s="867"/>
      <c r="AI170" s="867"/>
      <c r="AJ170" s="866">
        <v>0</v>
      </c>
      <c r="AK170" s="867"/>
      <c r="AL170" s="867"/>
      <c r="AM170" s="868"/>
      <c r="AN170" s="684">
        <f t="shared" si="13"/>
        <v>0</v>
      </c>
      <c r="AO170" s="684"/>
      <c r="AP170" s="684"/>
      <c r="AQ170" s="685"/>
      <c r="AR170" s="124"/>
      <c r="AS170" s="120"/>
    </row>
    <row r="171" spans="1:45" ht="12.75" customHeight="1">
      <c r="A171" s="1"/>
      <c r="B171" s="1001"/>
      <c r="C171" s="121"/>
      <c r="D171" s="680" t="str">
        <f>'3.1 Rapport détaillé des coûts'!A66</f>
        <v>F. Contingences</v>
      </c>
      <c r="E171" s="681"/>
      <c r="F171" s="681"/>
      <c r="G171" s="681"/>
      <c r="H171" s="681"/>
      <c r="I171" s="681"/>
      <c r="J171" s="681"/>
      <c r="K171" s="681"/>
      <c r="L171" s="681"/>
      <c r="M171" s="681"/>
      <c r="N171" s="681"/>
      <c r="O171" s="681"/>
      <c r="P171" s="681"/>
      <c r="Q171" s="681"/>
      <c r="R171" s="972">
        <v>0</v>
      </c>
      <c r="S171" s="973"/>
      <c r="T171" s="973"/>
      <c r="U171" s="973"/>
      <c r="V171" s="972">
        <v>0</v>
      </c>
      <c r="W171" s="973"/>
      <c r="X171" s="973"/>
      <c r="Y171" s="973"/>
      <c r="Z171" s="974"/>
      <c r="AA171" s="684">
        <f t="shared" si="12"/>
        <v>0</v>
      </c>
      <c r="AB171" s="684"/>
      <c r="AC171" s="684"/>
      <c r="AD171" s="684"/>
      <c r="AE171" s="972">
        <v>0</v>
      </c>
      <c r="AF171" s="973"/>
      <c r="AG171" s="973"/>
      <c r="AH171" s="973"/>
      <c r="AI171" s="973"/>
      <c r="AJ171" s="972">
        <v>0</v>
      </c>
      <c r="AK171" s="973"/>
      <c r="AL171" s="973"/>
      <c r="AM171" s="974"/>
      <c r="AN171" s="684">
        <f t="shared" si="13"/>
        <v>0</v>
      </c>
      <c r="AO171" s="684"/>
      <c r="AP171" s="684"/>
      <c r="AQ171" s="685"/>
      <c r="AR171" s="124"/>
      <c r="AS171" s="120"/>
    </row>
    <row r="172" spans="1:45" ht="12.75">
      <c r="A172" s="1"/>
      <c r="B172" s="1001"/>
      <c r="C172" s="125"/>
      <c r="D172" s="680" t="s">
        <v>227</v>
      </c>
      <c r="E172" s="681"/>
      <c r="F172" s="681"/>
      <c r="G172" s="681"/>
      <c r="H172" s="681"/>
      <c r="I172" s="681"/>
      <c r="J172" s="681"/>
      <c r="K172" s="681"/>
      <c r="L172" s="681"/>
      <c r="M172" s="681"/>
      <c r="N172" s="681"/>
      <c r="O172" s="681"/>
      <c r="P172" s="681"/>
      <c r="Q172" s="682"/>
      <c r="R172" s="849">
        <f>SUM(R166:U171)</f>
        <v>0</v>
      </c>
      <c r="S172" s="850"/>
      <c r="T172" s="850"/>
      <c r="U172" s="851"/>
      <c r="V172" s="852">
        <f>SUM(V166:Z171)</f>
        <v>0</v>
      </c>
      <c r="W172" s="853"/>
      <c r="X172" s="853"/>
      <c r="Y172" s="853"/>
      <c r="Z172" s="854"/>
      <c r="AA172" s="870">
        <f>SUM(AA166:AD171)</f>
        <v>0</v>
      </c>
      <c r="AB172" s="870"/>
      <c r="AC172" s="870"/>
      <c r="AD172" s="871"/>
      <c r="AE172" s="849">
        <f>SUM(AE166:AI171)</f>
        <v>0</v>
      </c>
      <c r="AF172" s="850"/>
      <c r="AG172" s="850"/>
      <c r="AH172" s="850"/>
      <c r="AI172" s="851"/>
      <c r="AJ172" s="849">
        <f>SUM(AJ166:AM171)</f>
        <v>0</v>
      </c>
      <c r="AK172" s="850"/>
      <c r="AL172" s="850"/>
      <c r="AM172" s="851"/>
      <c r="AN172" s="870">
        <f>SUM(AM166:AQ171)</f>
        <v>0</v>
      </c>
      <c r="AO172" s="870"/>
      <c r="AP172" s="870"/>
      <c r="AQ172" s="871"/>
      <c r="AR172" s="124"/>
      <c r="AS172" s="120"/>
    </row>
    <row r="173" spans="1:45" ht="13.5" thickBot="1">
      <c r="A173" s="1"/>
      <c r="B173" s="1002"/>
      <c r="C173" s="126"/>
      <c r="D173" s="632"/>
      <c r="E173" s="632"/>
      <c r="F173" s="632"/>
      <c r="G173" s="632"/>
      <c r="H173" s="632"/>
      <c r="I173" s="632"/>
      <c r="J173" s="632"/>
      <c r="K173" s="632"/>
      <c r="L173" s="632"/>
      <c r="M173" s="632"/>
      <c r="N173" s="632"/>
      <c r="O173" s="632"/>
      <c r="P173" s="632"/>
      <c r="Q173" s="632"/>
      <c r="R173" s="632"/>
      <c r="S173" s="632"/>
      <c r="T173" s="632"/>
      <c r="U173" s="632"/>
      <c r="V173" s="632"/>
      <c r="W173" s="632"/>
      <c r="X173" s="632"/>
      <c r="Y173" s="632"/>
      <c r="Z173" s="632"/>
      <c r="AA173" s="632"/>
      <c r="AB173" s="632"/>
      <c r="AC173" s="632"/>
      <c r="AD173" s="632"/>
      <c r="AE173" s="632"/>
      <c r="AF173" s="632"/>
      <c r="AG173" s="632"/>
      <c r="AH173" s="632"/>
      <c r="AI173" s="632"/>
      <c r="AJ173" s="632"/>
      <c r="AK173" s="632"/>
      <c r="AL173" s="632"/>
      <c r="AM173" s="632"/>
      <c r="AN173" s="632"/>
      <c r="AO173" s="632"/>
      <c r="AP173" s="632"/>
      <c r="AQ173" s="632"/>
      <c r="AR173" s="127"/>
      <c r="AS173" s="120"/>
    </row>
    <row r="174" spans="1:45" ht="12.75" hidden="1">
      <c r="A174" s="1"/>
      <c r="B174" s="935" t="s">
        <v>828</v>
      </c>
      <c r="C174" s="118"/>
      <c r="D174" s="803"/>
      <c r="E174" s="803"/>
      <c r="F174" s="803"/>
      <c r="G174" s="803"/>
      <c r="H174" s="803"/>
      <c r="I174" s="803"/>
      <c r="J174" s="803"/>
      <c r="K174" s="803"/>
      <c r="L174" s="803"/>
      <c r="M174" s="803"/>
      <c r="N174" s="803"/>
      <c r="O174" s="803"/>
      <c r="P174" s="803"/>
      <c r="Q174" s="803"/>
      <c r="R174" s="803"/>
      <c r="S174" s="803"/>
      <c r="T174" s="803"/>
      <c r="U174" s="803"/>
      <c r="V174" s="803"/>
      <c r="W174" s="803"/>
      <c r="X174" s="803"/>
      <c r="Y174" s="803"/>
      <c r="Z174" s="803"/>
      <c r="AA174" s="803"/>
      <c r="AB174" s="803"/>
      <c r="AC174" s="803"/>
      <c r="AD174" s="803"/>
      <c r="AE174" s="803"/>
      <c r="AF174" s="803"/>
      <c r="AG174" s="803"/>
      <c r="AH174" s="803"/>
      <c r="AI174" s="803"/>
      <c r="AJ174" s="803"/>
      <c r="AK174" s="803"/>
      <c r="AL174" s="803"/>
      <c r="AM174" s="803"/>
      <c r="AN174" s="803"/>
      <c r="AO174" s="803"/>
      <c r="AP174" s="803"/>
      <c r="AQ174" s="803"/>
      <c r="AR174" s="554" t="b">
        <f>Data!E56</f>
        <v>0</v>
      </c>
      <c r="AS174" s="120"/>
    </row>
    <row r="175" spans="1:45" ht="12.75" hidden="1">
      <c r="A175" s="1"/>
      <c r="B175" s="936"/>
      <c r="C175" s="313">
        <f>Data!AD30</f>
      </c>
      <c r="D175" s="873" t="s">
        <v>834</v>
      </c>
      <c r="E175" s="874"/>
      <c r="F175" s="874"/>
      <c r="G175" s="874"/>
      <c r="H175" s="931">
        <f>IF(Data!B115=FALSE,"(remplir l'onglet rapport détaillé des coûts)","")</f>
      </c>
      <c r="I175" s="931"/>
      <c r="J175" s="931"/>
      <c r="K175" s="931"/>
      <c r="L175" s="931"/>
      <c r="M175" s="931"/>
      <c r="N175" s="931"/>
      <c r="O175" s="931"/>
      <c r="P175" s="931"/>
      <c r="Q175" s="931"/>
      <c r="R175" s="872"/>
      <c r="S175" s="872"/>
      <c r="T175" s="872"/>
      <c r="U175" s="872"/>
      <c r="V175" s="653" t="s">
        <v>829</v>
      </c>
      <c r="W175" s="653"/>
      <c r="X175" s="653"/>
      <c r="Y175" s="653"/>
      <c r="Z175" s="653"/>
      <c r="AA175" s="653"/>
      <c r="AB175" s="653"/>
      <c r="AC175" s="653"/>
      <c r="AD175" s="653"/>
      <c r="AE175" s="653"/>
      <c r="AF175" s="653"/>
      <c r="AG175" s="653"/>
      <c r="AH175" s="653"/>
      <c r="AI175" s="653"/>
      <c r="AJ175" s="872" t="s">
        <v>835</v>
      </c>
      <c r="AK175" s="872"/>
      <c r="AL175" s="872"/>
      <c r="AM175" s="872"/>
      <c r="AN175" s="485"/>
      <c r="AO175" s="486"/>
      <c r="AP175" s="486"/>
      <c r="AQ175" s="487"/>
      <c r="AR175" s="536" t="b">
        <f>Data!F58</f>
        <v>0</v>
      </c>
      <c r="AS175" s="120"/>
    </row>
    <row r="176" spans="1:45" ht="12.75" hidden="1">
      <c r="A176" s="1"/>
      <c r="B176" s="936"/>
      <c r="C176" s="121" t="b">
        <f>Data!F58</f>
        <v>0</v>
      </c>
      <c r="D176" s="483"/>
      <c r="E176" s="484"/>
      <c r="F176" s="484"/>
      <c r="G176" s="484"/>
      <c r="H176" s="484"/>
      <c r="I176" s="484"/>
      <c r="J176" s="484"/>
      <c r="K176" s="484"/>
      <c r="L176" s="484"/>
      <c r="M176" s="484"/>
      <c r="N176" s="484"/>
      <c r="O176" s="484"/>
      <c r="P176" s="484"/>
      <c r="Q176" s="484"/>
      <c r="R176" s="872"/>
      <c r="S176" s="872"/>
      <c r="T176" s="872"/>
      <c r="U176" s="872"/>
      <c r="V176" s="932" t="s">
        <v>224</v>
      </c>
      <c r="W176" s="933"/>
      <c r="X176" s="933"/>
      <c r="Y176" s="933"/>
      <c r="Z176" s="934"/>
      <c r="AA176" s="653" t="s">
        <v>225</v>
      </c>
      <c r="AB176" s="653"/>
      <c r="AC176" s="653"/>
      <c r="AD176" s="653"/>
      <c r="AE176" s="653" t="s">
        <v>126</v>
      </c>
      <c r="AF176" s="653"/>
      <c r="AG176" s="653"/>
      <c r="AH176" s="653"/>
      <c r="AI176" s="653"/>
      <c r="AJ176" s="872"/>
      <c r="AK176" s="872"/>
      <c r="AL176" s="872"/>
      <c r="AM176" s="872"/>
      <c r="AN176" s="488"/>
      <c r="AO176" s="489"/>
      <c r="AP176" s="489"/>
      <c r="AQ176" s="490"/>
      <c r="AR176" s="124"/>
      <c r="AS176" s="120"/>
    </row>
    <row r="177" spans="1:45" ht="12.75" hidden="1">
      <c r="A177" s="1"/>
      <c r="B177" s="936"/>
      <c r="C177" s="5">
        <f ca="1">IF(D177&lt;&gt;"Choisir…",INDEX(OFFSET(INDIRECT(Data!AD$30),,-1,,),MATCH(D177,INDIRECT(Data!AD$30),0)),"")</f>
      </c>
      <c r="D177" s="686" t="s">
        <v>189</v>
      </c>
      <c r="E177" s="687"/>
      <c r="F177" s="687"/>
      <c r="G177" s="687"/>
      <c r="H177" s="687"/>
      <c r="I177" s="687"/>
      <c r="J177" s="687"/>
      <c r="K177" s="687"/>
      <c r="L177" s="687"/>
      <c r="M177" s="687"/>
      <c r="N177" s="687"/>
      <c r="O177" s="687"/>
      <c r="P177" s="687"/>
      <c r="Q177" s="688"/>
      <c r="R177" s="869"/>
      <c r="S177" s="869"/>
      <c r="T177" s="869"/>
      <c r="U177" s="869"/>
      <c r="V177" s="845">
        <v>0</v>
      </c>
      <c r="W177" s="845"/>
      <c r="X177" s="845"/>
      <c r="Y177" s="845"/>
      <c r="Z177" s="845"/>
      <c r="AA177" s="845">
        <v>0</v>
      </c>
      <c r="AB177" s="845"/>
      <c r="AC177" s="845"/>
      <c r="AD177" s="845"/>
      <c r="AE177" s="881">
        <f aca="true" t="shared" si="14" ref="AE177:AE183">V177+AA177</f>
        <v>0</v>
      </c>
      <c r="AF177" s="882"/>
      <c r="AG177" s="882"/>
      <c r="AH177" s="882"/>
      <c r="AI177" s="883"/>
      <c r="AJ177" s="845">
        <v>0</v>
      </c>
      <c r="AK177" s="845"/>
      <c r="AL177" s="845"/>
      <c r="AM177" s="845"/>
      <c r="AN177" s="887"/>
      <c r="AO177" s="888"/>
      <c r="AP177" s="888"/>
      <c r="AQ177" s="889"/>
      <c r="AR177" s="124"/>
      <c r="AS177" s="120"/>
    </row>
    <row r="178" spans="1:45" ht="12.75" hidden="1">
      <c r="A178" s="1"/>
      <c r="B178" s="936"/>
      <c r="C178" s="5">
        <f ca="1">IF(D178&lt;&gt;"Choisir…",INDEX(OFFSET(INDIRECT(Data!AD$30),,-1,,),MATCH(D178,INDIRECT(Data!AD$30),0)),"")</f>
      </c>
      <c r="D178" s="686" t="s">
        <v>189</v>
      </c>
      <c r="E178" s="687"/>
      <c r="F178" s="687"/>
      <c r="G178" s="687"/>
      <c r="H178" s="687"/>
      <c r="I178" s="687"/>
      <c r="J178" s="687"/>
      <c r="K178" s="687"/>
      <c r="L178" s="687"/>
      <c r="M178" s="687"/>
      <c r="N178" s="687"/>
      <c r="O178" s="687"/>
      <c r="P178" s="687"/>
      <c r="Q178" s="688"/>
      <c r="R178" s="869"/>
      <c r="S178" s="869"/>
      <c r="T178" s="869"/>
      <c r="U178" s="869"/>
      <c r="V178" s="845">
        <v>0</v>
      </c>
      <c r="W178" s="845"/>
      <c r="X178" s="845"/>
      <c r="Y178" s="845"/>
      <c r="Z178" s="845"/>
      <c r="AA178" s="845">
        <v>0</v>
      </c>
      <c r="AB178" s="845"/>
      <c r="AC178" s="845"/>
      <c r="AD178" s="845"/>
      <c r="AE178" s="881">
        <f t="shared" si="14"/>
        <v>0</v>
      </c>
      <c r="AF178" s="882"/>
      <c r="AG178" s="882"/>
      <c r="AH178" s="882"/>
      <c r="AI178" s="883"/>
      <c r="AJ178" s="845">
        <v>0</v>
      </c>
      <c r="AK178" s="845"/>
      <c r="AL178" s="845"/>
      <c r="AM178" s="845"/>
      <c r="AN178" s="890"/>
      <c r="AO178" s="891"/>
      <c r="AP178" s="891"/>
      <c r="AQ178" s="892"/>
      <c r="AR178" s="124"/>
      <c r="AS178" s="120"/>
    </row>
    <row r="179" spans="1:45" ht="12.75" hidden="1">
      <c r="A179" s="1"/>
      <c r="B179" s="936"/>
      <c r="C179" s="5">
        <f ca="1">IF(D179&lt;&gt;"Choisir…",INDEX(OFFSET(INDIRECT(Data!AD$30),,-1,,),MATCH(D179,INDIRECT(Data!AD$30),0)),"")</f>
      </c>
      <c r="D179" s="686" t="s">
        <v>189</v>
      </c>
      <c r="E179" s="687"/>
      <c r="F179" s="687"/>
      <c r="G179" s="687"/>
      <c r="H179" s="687"/>
      <c r="I179" s="687"/>
      <c r="J179" s="687"/>
      <c r="K179" s="687"/>
      <c r="L179" s="687"/>
      <c r="M179" s="687"/>
      <c r="N179" s="687"/>
      <c r="O179" s="687"/>
      <c r="P179" s="687"/>
      <c r="Q179" s="688"/>
      <c r="R179" s="869"/>
      <c r="S179" s="869"/>
      <c r="T179" s="869"/>
      <c r="U179" s="869"/>
      <c r="V179" s="845">
        <v>0</v>
      </c>
      <c r="W179" s="845"/>
      <c r="X179" s="845"/>
      <c r="Y179" s="845"/>
      <c r="Z179" s="845"/>
      <c r="AA179" s="845">
        <v>0</v>
      </c>
      <c r="AB179" s="845"/>
      <c r="AC179" s="845"/>
      <c r="AD179" s="845"/>
      <c r="AE179" s="881">
        <f t="shared" si="14"/>
        <v>0</v>
      </c>
      <c r="AF179" s="882"/>
      <c r="AG179" s="882"/>
      <c r="AH179" s="882"/>
      <c r="AI179" s="883"/>
      <c r="AJ179" s="845">
        <v>0</v>
      </c>
      <c r="AK179" s="845"/>
      <c r="AL179" s="845"/>
      <c r="AM179" s="845"/>
      <c r="AN179" s="890"/>
      <c r="AO179" s="891"/>
      <c r="AP179" s="891"/>
      <c r="AQ179" s="892"/>
      <c r="AR179" s="124"/>
      <c r="AS179" s="120"/>
    </row>
    <row r="180" spans="1:45" ht="12.75" hidden="1">
      <c r="A180" s="1"/>
      <c r="B180" s="936"/>
      <c r="C180" s="5">
        <f ca="1">IF(D180&lt;&gt;"Choisir…",INDEX(OFFSET(INDIRECT(Data!AD$30),,-1,,),MATCH(D180,INDIRECT(Data!AD$30),0)),"")</f>
      </c>
      <c r="D180" s="686" t="s">
        <v>189</v>
      </c>
      <c r="E180" s="687"/>
      <c r="F180" s="687"/>
      <c r="G180" s="687"/>
      <c r="H180" s="687"/>
      <c r="I180" s="687"/>
      <c r="J180" s="687"/>
      <c r="K180" s="687"/>
      <c r="L180" s="687"/>
      <c r="M180" s="687"/>
      <c r="N180" s="687"/>
      <c r="O180" s="687"/>
      <c r="P180" s="687"/>
      <c r="Q180" s="688"/>
      <c r="R180" s="869"/>
      <c r="S180" s="869"/>
      <c r="T180" s="869"/>
      <c r="U180" s="869"/>
      <c r="V180" s="845">
        <v>0</v>
      </c>
      <c r="W180" s="845"/>
      <c r="X180" s="845"/>
      <c r="Y180" s="845"/>
      <c r="Z180" s="845"/>
      <c r="AA180" s="845">
        <v>0</v>
      </c>
      <c r="AB180" s="845"/>
      <c r="AC180" s="845"/>
      <c r="AD180" s="845"/>
      <c r="AE180" s="881">
        <f t="shared" si="14"/>
        <v>0</v>
      </c>
      <c r="AF180" s="882"/>
      <c r="AG180" s="882"/>
      <c r="AH180" s="882"/>
      <c r="AI180" s="883"/>
      <c r="AJ180" s="845">
        <v>0</v>
      </c>
      <c r="AK180" s="845"/>
      <c r="AL180" s="845"/>
      <c r="AM180" s="845"/>
      <c r="AN180" s="890"/>
      <c r="AO180" s="891"/>
      <c r="AP180" s="891"/>
      <c r="AQ180" s="892"/>
      <c r="AR180" s="124"/>
      <c r="AS180" s="120"/>
    </row>
    <row r="181" spans="1:45" ht="12.75" hidden="1">
      <c r="A181" s="1"/>
      <c r="B181" s="936"/>
      <c r="C181" s="5">
        <f ca="1">IF(D181&lt;&gt;"Choisir…",INDEX(OFFSET(INDIRECT(Data!AD$30),,-1,,),MATCH(D181,INDIRECT(Data!AD$30),0)),"")</f>
      </c>
      <c r="D181" s="686" t="s">
        <v>189</v>
      </c>
      <c r="E181" s="687"/>
      <c r="F181" s="687"/>
      <c r="G181" s="687"/>
      <c r="H181" s="687"/>
      <c r="I181" s="687"/>
      <c r="J181" s="687"/>
      <c r="K181" s="687"/>
      <c r="L181" s="687"/>
      <c r="M181" s="687"/>
      <c r="N181" s="687"/>
      <c r="O181" s="687"/>
      <c r="P181" s="687"/>
      <c r="Q181" s="688"/>
      <c r="R181" s="869"/>
      <c r="S181" s="869"/>
      <c r="T181" s="869"/>
      <c r="U181" s="869"/>
      <c r="V181" s="845">
        <v>0</v>
      </c>
      <c r="W181" s="845"/>
      <c r="X181" s="845"/>
      <c r="Y181" s="845"/>
      <c r="Z181" s="845"/>
      <c r="AA181" s="845">
        <v>0</v>
      </c>
      <c r="AB181" s="845"/>
      <c r="AC181" s="845"/>
      <c r="AD181" s="845"/>
      <c r="AE181" s="881">
        <f t="shared" si="14"/>
        <v>0</v>
      </c>
      <c r="AF181" s="882"/>
      <c r="AG181" s="882"/>
      <c r="AH181" s="882"/>
      <c r="AI181" s="883"/>
      <c r="AJ181" s="845">
        <v>0</v>
      </c>
      <c r="AK181" s="845"/>
      <c r="AL181" s="845"/>
      <c r="AM181" s="845"/>
      <c r="AN181" s="890"/>
      <c r="AO181" s="891"/>
      <c r="AP181" s="891"/>
      <c r="AQ181" s="892"/>
      <c r="AR181" s="124"/>
      <c r="AS181" s="120"/>
    </row>
    <row r="182" spans="1:45" ht="12.75" hidden="1">
      <c r="A182" s="1"/>
      <c r="B182" s="937"/>
      <c r="C182" s="5">
        <f ca="1">IF(D182&lt;&gt;"Choisir…",INDEX(OFFSET(INDIRECT(Data!AD$30),,-1,,),MATCH(D182,INDIRECT(Data!AD$30),0)),"")</f>
      </c>
      <c r="D182" s="686" t="s">
        <v>189</v>
      </c>
      <c r="E182" s="687"/>
      <c r="F182" s="687"/>
      <c r="G182" s="687"/>
      <c r="H182" s="687"/>
      <c r="I182" s="687"/>
      <c r="J182" s="687"/>
      <c r="K182" s="687"/>
      <c r="L182" s="687"/>
      <c r="M182" s="687"/>
      <c r="N182" s="687"/>
      <c r="O182" s="687"/>
      <c r="P182" s="687"/>
      <c r="Q182" s="688"/>
      <c r="R182" s="869"/>
      <c r="S182" s="869"/>
      <c r="T182" s="869"/>
      <c r="U182" s="869"/>
      <c r="V182" s="845">
        <v>0</v>
      </c>
      <c r="W182" s="845"/>
      <c r="X182" s="845"/>
      <c r="Y182" s="845"/>
      <c r="Z182" s="845"/>
      <c r="AA182" s="845">
        <v>0</v>
      </c>
      <c r="AB182" s="845"/>
      <c r="AC182" s="845"/>
      <c r="AD182" s="845"/>
      <c r="AE182" s="881">
        <f t="shared" si="14"/>
        <v>0</v>
      </c>
      <c r="AF182" s="882"/>
      <c r="AG182" s="882"/>
      <c r="AH182" s="882"/>
      <c r="AI182" s="883"/>
      <c r="AJ182" s="845">
        <v>0</v>
      </c>
      <c r="AK182" s="845"/>
      <c r="AL182" s="845"/>
      <c r="AM182" s="845"/>
      <c r="AN182" s="890"/>
      <c r="AO182" s="891"/>
      <c r="AP182" s="891"/>
      <c r="AQ182" s="892"/>
      <c r="AR182" s="124"/>
      <c r="AS182" s="120"/>
    </row>
    <row r="183" spans="1:45" ht="12.75" hidden="1">
      <c r="A183" s="1"/>
      <c r="B183" s="937"/>
      <c r="C183" s="125"/>
      <c r="D183" s="680" t="s">
        <v>227</v>
      </c>
      <c r="E183" s="681"/>
      <c r="F183" s="681"/>
      <c r="G183" s="681"/>
      <c r="H183" s="681"/>
      <c r="I183" s="681"/>
      <c r="J183" s="681"/>
      <c r="K183" s="681"/>
      <c r="L183" s="681"/>
      <c r="M183" s="681"/>
      <c r="N183" s="681"/>
      <c r="O183" s="681"/>
      <c r="P183" s="681"/>
      <c r="Q183" s="682"/>
      <c r="R183" s="896"/>
      <c r="S183" s="896"/>
      <c r="T183" s="896"/>
      <c r="U183" s="896"/>
      <c r="V183" s="683">
        <f>SUM(V177:Z182)</f>
        <v>0</v>
      </c>
      <c r="W183" s="684"/>
      <c r="X183" s="684"/>
      <c r="Y183" s="684"/>
      <c r="Z183" s="685"/>
      <c r="AA183" s="714">
        <f>SUM(AA177:AD182)</f>
        <v>0</v>
      </c>
      <c r="AB183" s="715"/>
      <c r="AC183" s="715"/>
      <c r="AD183" s="716"/>
      <c r="AE183" s="683">
        <f t="shared" si="14"/>
        <v>0</v>
      </c>
      <c r="AF183" s="684"/>
      <c r="AG183" s="684"/>
      <c r="AH183" s="684"/>
      <c r="AI183" s="685"/>
      <c r="AJ183" s="944">
        <f>SUM(AJ177:AM182)</f>
        <v>0</v>
      </c>
      <c r="AK183" s="944"/>
      <c r="AL183" s="944"/>
      <c r="AM183" s="944"/>
      <c r="AN183" s="893"/>
      <c r="AO183" s="894"/>
      <c r="AP183" s="894"/>
      <c r="AQ183" s="895"/>
      <c r="AR183" s="124"/>
      <c r="AS183" s="120"/>
    </row>
    <row r="184" spans="1:45" ht="13.5" hidden="1" thickBot="1">
      <c r="A184" s="1"/>
      <c r="B184" s="938"/>
      <c r="C184" s="126"/>
      <c r="D184" s="632"/>
      <c r="E184" s="632"/>
      <c r="F184" s="632"/>
      <c r="G184" s="632"/>
      <c r="H184" s="632"/>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32"/>
      <c r="AL184" s="632"/>
      <c r="AM184" s="632"/>
      <c r="AN184" s="632"/>
      <c r="AO184" s="632"/>
      <c r="AP184" s="632"/>
      <c r="AQ184" s="632"/>
      <c r="AR184" s="127"/>
      <c r="AS184" s="120"/>
    </row>
    <row r="185" spans="1:44" ht="18" customHeight="1">
      <c r="A185" s="1"/>
      <c r="B185" s="608" t="s">
        <v>681</v>
      </c>
      <c r="C185" s="10"/>
      <c r="D185" s="841" t="s">
        <v>1006</v>
      </c>
      <c r="E185" s="841"/>
      <c r="F185" s="841"/>
      <c r="G185" s="841"/>
      <c r="H185" s="841"/>
      <c r="I185" s="841"/>
      <c r="J185" s="841"/>
      <c r="K185" s="841"/>
      <c r="L185" s="841"/>
      <c r="M185" s="841"/>
      <c r="N185" s="841"/>
      <c r="O185" s="841"/>
      <c r="P185" s="841"/>
      <c r="Q185" s="841"/>
      <c r="R185" s="841"/>
      <c r="S185" s="841"/>
      <c r="T185" s="841"/>
      <c r="U185" s="841"/>
      <c r="V185" s="841"/>
      <c r="W185" s="841"/>
      <c r="X185" s="841"/>
      <c r="Y185" s="841"/>
      <c r="Z185" s="841"/>
      <c r="AA185" s="841"/>
      <c r="AB185" s="841"/>
      <c r="AC185" s="841"/>
      <c r="AD185" s="841"/>
      <c r="AE185" s="841"/>
      <c r="AF185" s="841"/>
      <c r="AG185" s="841"/>
      <c r="AH185" s="841"/>
      <c r="AI185" s="841"/>
      <c r="AJ185" s="841"/>
      <c r="AK185" s="841"/>
      <c r="AL185" s="841"/>
      <c r="AM185" s="841"/>
      <c r="AN185" s="841"/>
      <c r="AO185" s="841"/>
      <c r="AP185" s="841"/>
      <c r="AQ185" s="841"/>
      <c r="AR185" s="80"/>
    </row>
    <row r="186" spans="1:44" ht="24" customHeight="1">
      <c r="A186" s="1"/>
      <c r="B186" s="609"/>
      <c r="C186" s="10"/>
      <c r="D186" s="593" t="s">
        <v>466</v>
      </c>
      <c r="E186" s="594"/>
      <c r="F186" s="594"/>
      <c r="G186" s="594"/>
      <c r="H186" s="594"/>
      <c r="I186" s="594"/>
      <c r="J186" s="594"/>
      <c r="K186" s="594"/>
      <c r="L186" s="594"/>
      <c r="M186" s="594"/>
      <c r="N186" s="594"/>
      <c r="O186" s="594"/>
      <c r="P186" s="594"/>
      <c r="Q186" s="594"/>
      <c r="R186" s="594"/>
      <c r="S186" s="594"/>
      <c r="T186" s="594"/>
      <c r="U186" s="595"/>
      <c r="V186" s="905" t="s">
        <v>992</v>
      </c>
      <c r="W186" s="906"/>
      <c r="X186" s="906"/>
      <c r="Y186" s="906"/>
      <c r="Z186" s="906"/>
      <c r="AA186" s="906"/>
      <c r="AB186" s="906"/>
      <c r="AC186" s="906"/>
      <c r="AD186" s="906"/>
      <c r="AE186" s="906"/>
      <c r="AF186" s="906"/>
      <c r="AG186" s="906"/>
      <c r="AH186" s="906"/>
      <c r="AI186" s="906"/>
      <c r="AJ186" s="906"/>
      <c r="AK186" s="906"/>
      <c r="AL186" s="906"/>
      <c r="AM186" s="907"/>
      <c r="AN186" s="842">
        <v>0</v>
      </c>
      <c r="AO186" s="843"/>
      <c r="AP186" s="843"/>
      <c r="AQ186" s="844"/>
      <c r="AR186" s="81"/>
    </row>
    <row r="187" spans="1:44" ht="12.75" customHeight="1">
      <c r="A187" s="1"/>
      <c r="B187" s="609"/>
      <c r="C187" s="313" t="s">
        <v>729</v>
      </c>
      <c r="D187" s="855" t="s">
        <v>730</v>
      </c>
      <c r="E187" s="856"/>
      <c r="F187" s="856"/>
      <c r="G187" s="857"/>
      <c r="H187" s="858" t="s">
        <v>977</v>
      </c>
      <c r="I187" s="859"/>
      <c r="J187" s="859"/>
      <c r="K187" s="859"/>
      <c r="L187" s="859"/>
      <c r="M187" s="859"/>
      <c r="N187" s="859"/>
      <c r="O187" s="859"/>
      <c r="P187" s="859"/>
      <c r="Q187" s="859"/>
      <c r="R187" s="859"/>
      <c r="S187" s="859"/>
      <c r="T187" s="859"/>
      <c r="U187" s="860"/>
      <c r="V187" s="846" t="s">
        <v>177</v>
      </c>
      <c r="W187" s="847"/>
      <c r="X187" s="847"/>
      <c r="Y187" s="847"/>
      <c r="Z187" s="847"/>
      <c r="AA187" s="847"/>
      <c r="AB187" s="847"/>
      <c r="AC187" s="847"/>
      <c r="AD187" s="848"/>
      <c r="AE187" s="846" t="s">
        <v>178</v>
      </c>
      <c r="AF187" s="847"/>
      <c r="AG187" s="847"/>
      <c r="AH187" s="847"/>
      <c r="AI187" s="847"/>
      <c r="AJ187" s="847"/>
      <c r="AK187" s="847"/>
      <c r="AL187" s="847"/>
      <c r="AM187" s="848"/>
      <c r="AN187" s="846" t="s">
        <v>179</v>
      </c>
      <c r="AO187" s="847"/>
      <c r="AP187" s="847"/>
      <c r="AQ187" s="848"/>
      <c r="AR187" s="80"/>
    </row>
    <row r="188" spans="1:44" ht="24" customHeight="1">
      <c r="A188" s="1"/>
      <c r="B188" s="609"/>
      <c r="C188" s="10">
        <f aca="true" ca="1" t="shared" si="15" ref="C188:C194">IF(D188&lt;&gt;"Choisir…",INDEX(OFFSET(Fin_Autre,,-1,,),MATCH(D188,Fin_Autre,0)),"")</f>
        <v>1</v>
      </c>
      <c r="D188" s="680" t="s">
        <v>970</v>
      </c>
      <c r="E188" s="681"/>
      <c r="F188" s="681"/>
      <c r="G188" s="682"/>
      <c r="H188" s="878" t="s">
        <v>971</v>
      </c>
      <c r="I188" s="879"/>
      <c r="J188" s="879"/>
      <c r="K188" s="879"/>
      <c r="L188" s="879"/>
      <c r="M188" s="879"/>
      <c r="N188" s="879"/>
      <c r="O188" s="879"/>
      <c r="P188" s="879"/>
      <c r="Q188" s="879"/>
      <c r="R188" s="879"/>
      <c r="S188" s="879"/>
      <c r="T188" s="879"/>
      <c r="U188" s="880"/>
      <c r="V188" s="975" t="s">
        <v>487</v>
      </c>
      <c r="W188" s="976"/>
      <c r="X188" s="976"/>
      <c r="Y188" s="976"/>
      <c r="Z188" s="976"/>
      <c r="AA188" s="976"/>
      <c r="AB188" s="976"/>
      <c r="AC188" s="976"/>
      <c r="AD188" s="977"/>
      <c r="AE188" s="902">
        <v>0</v>
      </c>
      <c r="AF188" s="903"/>
      <c r="AG188" s="903"/>
      <c r="AH188" s="903"/>
      <c r="AI188" s="903"/>
      <c r="AJ188" s="903"/>
      <c r="AK188" s="903"/>
      <c r="AL188" s="903"/>
      <c r="AM188" s="904"/>
      <c r="AN188" s="897">
        <f aca="true" t="shared" si="16" ref="AN188:AN194">IF(AE188=0,,AE188/AE$195)</f>
        <v>0</v>
      </c>
      <c r="AO188" s="897"/>
      <c r="AP188" s="897"/>
      <c r="AQ188" s="898"/>
      <c r="AR188" s="80"/>
    </row>
    <row r="189" spans="1:44" ht="12.75" customHeight="1">
      <c r="A189" s="1"/>
      <c r="B189" s="609"/>
      <c r="C189" s="10">
        <f ca="1">IF(D189&lt;&gt;"Choisir…",INDEX(OFFSET(Fin_Autre,,-1,,),MATCH(IF(D189="Participant","Requérant",D189),Fin_Autre,0)),"")</f>
        <v>16</v>
      </c>
      <c r="D189" s="680" t="s">
        <v>1143</v>
      </c>
      <c r="E189" s="681"/>
      <c r="F189" s="681"/>
      <c r="G189" s="682"/>
      <c r="H189" s="680">
        <f>IF(H11="","",H11)</f>
      </c>
      <c r="I189" s="681"/>
      <c r="J189" s="681"/>
      <c r="K189" s="681"/>
      <c r="L189" s="681"/>
      <c r="M189" s="681"/>
      <c r="N189" s="681"/>
      <c r="O189" s="681"/>
      <c r="P189" s="681"/>
      <c r="Q189" s="681"/>
      <c r="R189" s="681"/>
      <c r="S189" s="681"/>
      <c r="T189" s="681"/>
      <c r="U189" s="682"/>
      <c r="V189" s="698" t="s">
        <v>211</v>
      </c>
      <c r="W189" s="699"/>
      <c r="X189" s="699"/>
      <c r="Y189" s="699"/>
      <c r="Z189" s="699"/>
      <c r="AA189" s="699"/>
      <c r="AB189" s="699"/>
      <c r="AC189" s="699"/>
      <c r="AD189" s="700"/>
      <c r="AE189" s="884">
        <v>0</v>
      </c>
      <c r="AF189" s="885"/>
      <c r="AG189" s="885"/>
      <c r="AH189" s="885"/>
      <c r="AI189" s="885"/>
      <c r="AJ189" s="885"/>
      <c r="AK189" s="885"/>
      <c r="AL189" s="885"/>
      <c r="AM189" s="886"/>
      <c r="AN189" s="897">
        <f t="shared" si="16"/>
        <v>0</v>
      </c>
      <c r="AO189" s="897"/>
      <c r="AP189" s="897"/>
      <c r="AQ189" s="898"/>
      <c r="AR189" s="80"/>
    </row>
    <row r="190" spans="1:44" ht="12.75" customHeight="1">
      <c r="A190" s="1"/>
      <c r="B190" s="609"/>
      <c r="C190" s="10">
        <f ca="1" t="shared" si="15"/>
      </c>
      <c r="D190" s="686" t="s">
        <v>189</v>
      </c>
      <c r="E190" s="687"/>
      <c r="F190" s="687"/>
      <c r="G190" s="688"/>
      <c r="H190" s="686"/>
      <c r="I190" s="687"/>
      <c r="J190" s="687"/>
      <c r="K190" s="687"/>
      <c r="L190" s="687"/>
      <c r="M190" s="687"/>
      <c r="N190" s="687"/>
      <c r="O190" s="687"/>
      <c r="P190" s="687"/>
      <c r="Q190" s="687"/>
      <c r="R190" s="687"/>
      <c r="S190" s="687"/>
      <c r="T190" s="687"/>
      <c r="U190" s="688"/>
      <c r="V190" s="698" t="s">
        <v>189</v>
      </c>
      <c r="W190" s="699"/>
      <c r="X190" s="699"/>
      <c r="Y190" s="699"/>
      <c r="Z190" s="699"/>
      <c r="AA190" s="699"/>
      <c r="AB190" s="699"/>
      <c r="AC190" s="699"/>
      <c r="AD190" s="700"/>
      <c r="AE190" s="902">
        <v>0</v>
      </c>
      <c r="AF190" s="903"/>
      <c r="AG190" s="903"/>
      <c r="AH190" s="903"/>
      <c r="AI190" s="903"/>
      <c r="AJ190" s="903"/>
      <c r="AK190" s="903"/>
      <c r="AL190" s="903"/>
      <c r="AM190" s="904"/>
      <c r="AN190" s="897">
        <f t="shared" si="16"/>
        <v>0</v>
      </c>
      <c r="AO190" s="897"/>
      <c r="AP190" s="897"/>
      <c r="AQ190" s="898"/>
      <c r="AR190" s="80"/>
    </row>
    <row r="191" spans="1:44" ht="12.75" customHeight="1">
      <c r="A191" s="1"/>
      <c r="B191" s="609"/>
      <c r="C191" s="10">
        <f ca="1" t="shared" si="15"/>
      </c>
      <c r="D191" s="686" t="s">
        <v>189</v>
      </c>
      <c r="E191" s="687"/>
      <c r="F191" s="687"/>
      <c r="G191" s="688"/>
      <c r="H191" s="686"/>
      <c r="I191" s="687"/>
      <c r="J191" s="687"/>
      <c r="K191" s="687"/>
      <c r="L191" s="687"/>
      <c r="M191" s="687"/>
      <c r="N191" s="687"/>
      <c r="O191" s="687"/>
      <c r="P191" s="687"/>
      <c r="Q191" s="687"/>
      <c r="R191" s="687"/>
      <c r="S191" s="687"/>
      <c r="T191" s="687"/>
      <c r="U191" s="688"/>
      <c r="V191" s="698" t="s">
        <v>189</v>
      </c>
      <c r="W191" s="699"/>
      <c r="X191" s="699"/>
      <c r="Y191" s="699"/>
      <c r="Z191" s="699"/>
      <c r="AA191" s="699"/>
      <c r="AB191" s="699"/>
      <c r="AC191" s="699"/>
      <c r="AD191" s="700"/>
      <c r="AE191" s="902">
        <v>0</v>
      </c>
      <c r="AF191" s="903"/>
      <c r="AG191" s="903"/>
      <c r="AH191" s="903"/>
      <c r="AI191" s="903"/>
      <c r="AJ191" s="903"/>
      <c r="AK191" s="903"/>
      <c r="AL191" s="903"/>
      <c r="AM191" s="904"/>
      <c r="AN191" s="897">
        <f t="shared" si="16"/>
        <v>0</v>
      </c>
      <c r="AO191" s="897"/>
      <c r="AP191" s="897"/>
      <c r="AQ191" s="898"/>
      <c r="AR191" s="80"/>
    </row>
    <row r="192" spans="1:44" ht="12.75" customHeight="1">
      <c r="A192" s="1"/>
      <c r="B192" s="609"/>
      <c r="C192" s="10">
        <f ca="1" t="shared" si="15"/>
      </c>
      <c r="D192" s="686" t="s">
        <v>189</v>
      </c>
      <c r="E192" s="687"/>
      <c r="F192" s="687"/>
      <c r="G192" s="688"/>
      <c r="H192" s="686"/>
      <c r="I192" s="687"/>
      <c r="J192" s="687"/>
      <c r="K192" s="687"/>
      <c r="L192" s="687"/>
      <c r="M192" s="687"/>
      <c r="N192" s="687"/>
      <c r="O192" s="687"/>
      <c r="P192" s="687"/>
      <c r="Q192" s="687"/>
      <c r="R192" s="687"/>
      <c r="S192" s="687"/>
      <c r="T192" s="687"/>
      <c r="U192" s="688"/>
      <c r="V192" s="698" t="s">
        <v>189</v>
      </c>
      <c r="W192" s="699"/>
      <c r="X192" s="699"/>
      <c r="Y192" s="699"/>
      <c r="Z192" s="699"/>
      <c r="AA192" s="699"/>
      <c r="AB192" s="699"/>
      <c r="AC192" s="699"/>
      <c r="AD192" s="700"/>
      <c r="AE192" s="902">
        <v>0</v>
      </c>
      <c r="AF192" s="903"/>
      <c r="AG192" s="903"/>
      <c r="AH192" s="903"/>
      <c r="AI192" s="903"/>
      <c r="AJ192" s="903"/>
      <c r="AK192" s="903"/>
      <c r="AL192" s="903"/>
      <c r="AM192" s="904"/>
      <c r="AN192" s="897">
        <f t="shared" si="16"/>
        <v>0</v>
      </c>
      <c r="AO192" s="897"/>
      <c r="AP192" s="897"/>
      <c r="AQ192" s="898"/>
      <c r="AR192" s="80"/>
    </row>
    <row r="193" spans="1:44" ht="12.75" customHeight="1">
      <c r="A193" s="1"/>
      <c r="B193" s="928"/>
      <c r="C193" s="10">
        <f ca="1" t="shared" si="15"/>
      </c>
      <c r="D193" s="686" t="s">
        <v>189</v>
      </c>
      <c r="E193" s="687"/>
      <c r="F193" s="687"/>
      <c r="G193" s="688"/>
      <c r="H193" s="686"/>
      <c r="I193" s="687"/>
      <c r="J193" s="687"/>
      <c r="K193" s="687"/>
      <c r="L193" s="687"/>
      <c r="M193" s="687"/>
      <c r="N193" s="687"/>
      <c r="O193" s="687"/>
      <c r="P193" s="687"/>
      <c r="Q193" s="687"/>
      <c r="R193" s="687"/>
      <c r="S193" s="687"/>
      <c r="T193" s="687"/>
      <c r="U193" s="688"/>
      <c r="V193" s="698" t="s">
        <v>189</v>
      </c>
      <c r="W193" s="699"/>
      <c r="X193" s="699"/>
      <c r="Y193" s="699"/>
      <c r="Z193" s="699"/>
      <c r="AA193" s="699"/>
      <c r="AB193" s="699"/>
      <c r="AC193" s="699"/>
      <c r="AD193" s="700"/>
      <c r="AE193" s="902">
        <v>0</v>
      </c>
      <c r="AF193" s="903"/>
      <c r="AG193" s="903"/>
      <c r="AH193" s="903"/>
      <c r="AI193" s="903"/>
      <c r="AJ193" s="903"/>
      <c r="AK193" s="903"/>
      <c r="AL193" s="903"/>
      <c r="AM193" s="904"/>
      <c r="AN193" s="897">
        <f t="shared" si="16"/>
        <v>0</v>
      </c>
      <c r="AO193" s="897"/>
      <c r="AP193" s="897"/>
      <c r="AQ193" s="898"/>
      <c r="AR193" s="80"/>
    </row>
    <row r="194" spans="1:44" ht="12.75" customHeight="1">
      <c r="A194" s="1"/>
      <c r="B194" s="928"/>
      <c r="C194" s="10">
        <f ca="1" t="shared" si="15"/>
      </c>
      <c r="D194" s="686" t="s">
        <v>189</v>
      </c>
      <c r="E194" s="687"/>
      <c r="F194" s="687"/>
      <c r="G194" s="688"/>
      <c r="H194" s="686"/>
      <c r="I194" s="687"/>
      <c r="J194" s="687"/>
      <c r="K194" s="687"/>
      <c r="L194" s="687"/>
      <c r="M194" s="687"/>
      <c r="N194" s="687"/>
      <c r="O194" s="687"/>
      <c r="P194" s="687"/>
      <c r="Q194" s="687"/>
      <c r="R194" s="687"/>
      <c r="S194" s="687"/>
      <c r="T194" s="687"/>
      <c r="U194" s="688"/>
      <c r="V194" s="698" t="s">
        <v>189</v>
      </c>
      <c r="W194" s="699"/>
      <c r="X194" s="699"/>
      <c r="Y194" s="699"/>
      <c r="Z194" s="699"/>
      <c r="AA194" s="699"/>
      <c r="AB194" s="699"/>
      <c r="AC194" s="699"/>
      <c r="AD194" s="700"/>
      <c r="AE194" s="902">
        <v>0</v>
      </c>
      <c r="AF194" s="903"/>
      <c r="AG194" s="903"/>
      <c r="AH194" s="903"/>
      <c r="AI194" s="903"/>
      <c r="AJ194" s="903"/>
      <c r="AK194" s="903"/>
      <c r="AL194" s="903"/>
      <c r="AM194" s="904"/>
      <c r="AN194" s="897">
        <f t="shared" si="16"/>
        <v>0</v>
      </c>
      <c r="AO194" s="897"/>
      <c r="AP194" s="897"/>
      <c r="AQ194" s="898"/>
      <c r="AR194" s="80"/>
    </row>
    <row r="195" spans="1:44" ht="12.75" customHeight="1">
      <c r="A195" s="1"/>
      <c r="B195" s="928"/>
      <c r="C195" s="108"/>
      <c r="D195" s="110"/>
      <c r="E195" s="110"/>
      <c r="F195" s="110"/>
      <c r="G195" s="110"/>
      <c r="N195" s="107"/>
      <c r="O195" s="110"/>
      <c r="P195" s="110"/>
      <c r="Q195" s="110"/>
      <c r="R195" s="110"/>
      <c r="V195" s="908" t="s">
        <v>226</v>
      </c>
      <c r="W195" s="909"/>
      <c r="X195" s="909"/>
      <c r="Y195" s="909"/>
      <c r="Z195" s="909"/>
      <c r="AA195" s="909"/>
      <c r="AB195" s="909"/>
      <c r="AC195" s="909"/>
      <c r="AD195" s="910"/>
      <c r="AE195" s="875">
        <f>SUM(AE188:AM194)</f>
        <v>0</v>
      </c>
      <c r="AF195" s="876"/>
      <c r="AG195" s="876"/>
      <c r="AH195" s="876"/>
      <c r="AI195" s="876"/>
      <c r="AJ195" s="876"/>
      <c r="AK195" s="876"/>
      <c r="AL195" s="876"/>
      <c r="AM195" s="877"/>
      <c r="AN195" s="897">
        <f>SUM(AM188:AQ194)</f>
        <v>0</v>
      </c>
      <c r="AO195" s="897"/>
      <c r="AP195" s="897"/>
      <c r="AQ195" s="898"/>
      <c r="AR195" s="80"/>
    </row>
    <row r="196" spans="1:44" ht="3.75" customHeight="1" thickBot="1">
      <c r="A196" s="1"/>
      <c r="B196" s="929"/>
      <c r="C196" s="14"/>
      <c r="D196" s="709"/>
      <c r="E196" s="709"/>
      <c r="F196" s="709"/>
      <c r="G196" s="709"/>
      <c r="H196" s="709"/>
      <c r="I196" s="709"/>
      <c r="J196" s="709"/>
      <c r="K196" s="709"/>
      <c r="L196" s="709"/>
      <c r="M196" s="709"/>
      <c r="N196" s="709"/>
      <c r="O196" s="709"/>
      <c r="P196" s="709"/>
      <c r="Q196" s="709"/>
      <c r="R196" s="709"/>
      <c r="S196" s="709"/>
      <c r="T196" s="709"/>
      <c r="U196" s="709"/>
      <c r="V196" s="709"/>
      <c r="W196" s="709"/>
      <c r="X196" s="709"/>
      <c r="Y196" s="709"/>
      <c r="Z196" s="709"/>
      <c r="AA196" s="709"/>
      <c r="AB196" s="709"/>
      <c r="AC196" s="709"/>
      <c r="AD196" s="709"/>
      <c r="AE196" s="709"/>
      <c r="AF196" s="709"/>
      <c r="AG196" s="709"/>
      <c r="AH196" s="709"/>
      <c r="AI196" s="709"/>
      <c r="AJ196" s="709"/>
      <c r="AK196" s="709"/>
      <c r="AL196" s="709"/>
      <c r="AM196" s="709"/>
      <c r="AN196" s="709"/>
      <c r="AO196" s="709"/>
      <c r="AP196" s="709"/>
      <c r="AQ196" s="709"/>
      <c r="AR196" s="16"/>
    </row>
    <row r="197" spans="1:44" ht="66" customHeight="1">
      <c r="A197" s="421"/>
      <c r="B197" s="964" t="s">
        <v>682</v>
      </c>
      <c r="C197" s="65"/>
      <c r="D197" s="642"/>
      <c r="E197" s="642"/>
      <c r="F197" s="642"/>
      <c r="G197" s="642"/>
      <c r="H197" s="642"/>
      <c r="I197" s="642"/>
      <c r="J197" s="642"/>
      <c r="K197" s="642"/>
      <c r="L197" s="642"/>
      <c r="M197" s="642"/>
      <c r="N197" s="642"/>
      <c r="O197" s="642"/>
      <c r="P197" s="642"/>
      <c r="Q197" s="642"/>
      <c r="R197" s="642"/>
      <c r="S197" s="642"/>
      <c r="T197" s="642"/>
      <c r="U197" s="642"/>
      <c r="V197" s="642"/>
      <c r="W197" s="642"/>
      <c r="X197" s="642"/>
      <c r="Y197" s="642"/>
      <c r="Z197" s="642"/>
      <c r="AA197" s="642"/>
      <c r="AB197" s="642"/>
      <c r="AC197" s="642"/>
      <c r="AD197" s="642"/>
      <c r="AE197" s="642"/>
      <c r="AF197" s="642"/>
      <c r="AG197" s="642"/>
      <c r="AH197" s="642"/>
      <c r="AI197" s="642"/>
      <c r="AJ197" s="642"/>
      <c r="AK197" s="642"/>
      <c r="AL197" s="642"/>
      <c r="AM197" s="642"/>
      <c r="AN197" s="642"/>
      <c r="AO197" s="642"/>
      <c r="AP197" s="642"/>
      <c r="AQ197" s="642"/>
      <c r="AR197" s="66"/>
    </row>
    <row r="198" spans="1:44" ht="12.75" customHeight="1">
      <c r="A198" s="421"/>
      <c r="B198" s="965"/>
      <c r="D198" s="422" t="s">
        <v>972</v>
      </c>
      <c r="E198" s="421"/>
      <c r="F198" s="421"/>
      <c r="G198" s="421"/>
      <c r="H198" s="421"/>
      <c r="I198" s="421"/>
      <c r="J198" s="930"/>
      <c r="K198" s="930"/>
      <c r="L198" s="930"/>
      <c r="M198" s="930"/>
      <c r="N198" s="930"/>
      <c r="O198" s="930"/>
      <c r="P198" s="930"/>
      <c r="Q198" s="930"/>
      <c r="R198" s="930"/>
      <c r="S198" s="930"/>
      <c r="T198" s="930"/>
      <c r="U198" s="930"/>
      <c r="V198" s="930"/>
      <c r="W198" s="930"/>
      <c r="X198" s="930"/>
      <c r="Y198" s="930"/>
      <c r="Z198" s="930"/>
      <c r="AA198" s="930"/>
      <c r="AB198" s="930"/>
      <c r="AC198" s="930"/>
      <c r="AD198" s="930"/>
      <c r="AE198" s="421"/>
      <c r="AF198" s="421"/>
      <c r="AG198" s="421"/>
      <c r="AH198" s="421"/>
      <c r="AI198" s="434" t="s">
        <v>973</v>
      </c>
      <c r="AJ198" s="921"/>
      <c r="AK198" s="922"/>
      <c r="AL198" s="922"/>
      <c r="AM198" s="922"/>
      <c r="AN198" s="922"/>
      <c r="AO198" s="922"/>
      <c r="AP198" s="922"/>
      <c r="AQ198" s="923"/>
      <c r="AR198" s="67"/>
    </row>
    <row r="199" spans="1:44" ht="1.5" customHeight="1">
      <c r="A199" s="423"/>
      <c r="B199" s="965"/>
      <c r="D199" s="432" t="s">
        <v>230</v>
      </c>
      <c r="E199" s="421"/>
      <c r="F199" s="421"/>
      <c r="G199" s="421"/>
      <c r="H199" s="421"/>
      <c r="I199" s="421"/>
      <c r="J199" s="421"/>
      <c r="K199" s="421"/>
      <c r="L199" s="424"/>
      <c r="M199" s="424"/>
      <c r="N199" s="424"/>
      <c r="O199" s="424"/>
      <c r="P199" s="424"/>
      <c r="Q199" s="424"/>
      <c r="R199" s="424"/>
      <c r="S199" s="424"/>
      <c r="T199" s="424"/>
      <c r="U199" s="424"/>
      <c r="V199" s="424"/>
      <c r="W199" s="424"/>
      <c r="X199" s="424"/>
      <c r="Y199" s="424"/>
      <c r="Z199" s="424"/>
      <c r="AA199" s="424"/>
      <c r="AB199" s="424"/>
      <c r="AC199" s="424"/>
      <c r="AD199" s="425"/>
      <c r="AE199" s="421"/>
      <c r="AF199" s="421"/>
      <c r="AG199" s="421"/>
      <c r="AH199" s="421"/>
      <c r="AI199" s="426"/>
      <c r="AJ199" s="426"/>
      <c r="AK199" s="426"/>
      <c r="AL199" s="426"/>
      <c r="AM199" s="426"/>
      <c r="AN199" s="426"/>
      <c r="AO199" s="426"/>
      <c r="AP199" s="421"/>
      <c r="AR199" s="67"/>
    </row>
    <row r="200" spans="2:44" ht="1.5" customHeight="1">
      <c r="B200" s="965"/>
      <c r="D200" s="433" t="s">
        <v>229</v>
      </c>
      <c r="AR200" s="67"/>
    </row>
    <row r="201" spans="2:44" ht="12.75" customHeight="1" thickBot="1">
      <c r="B201" s="966"/>
      <c r="C201" s="68"/>
      <c r="D201" s="427"/>
      <c r="E201" s="428"/>
      <c r="F201" s="428"/>
      <c r="G201" s="428"/>
      <c r="H201" s="428"/>
      <c r="I201" s="428"/>
      <c r="J201" s="428"/>
      <c r="K201" s="428"/>
      <c r="L201" s="428"/>
      <c r="M201" s="428"/>
      <c r="N201" s="428"/>
      <c r="O201" s="428"/>
      <c r="P201" s="428"/>
      <c r="Q201" s="428"/>
      <c r="R201" s="428"/>
      <c r="S201" s="428"/>
      <c r="T201" s="428"/>
      <c r="U201" s="428"/>
      <c r="V201" s="428"/>
      <c r="W201" s="428"/>
      <c r="X201" s="428"/>
      <c r="Y201" s="428"/>
      <c r="Z201" s="428"/>
      <c r="AA201" s="428"/>
      <c r="AB201" s="428"/>
      <c r="AC201" s="428"/>
      <c r="AD201" s="428"/>
      <c r="AE201" s="428"/>
      <c r="AF201" s="428"/>
      <c r="AG201" s="428"/>
      <c r="AH201" s="428"/>
      <c r="AI201" s="428"/>
      <c r="AJ201" s="428"/>
      <c r="AK201" s="428"/>
      <c r="AL201" s="428"/>
      <c r="AM201" s="428"/>
      <c r="AN201" s="428"/>
      <c r="AO201" s="428"/>
      <c r="AP201" s="428"/>
      <c r="AQ201" s="68"/>
      <c r="AR201" s="69"/>
    </row>
    <row r="202" spans="2:44" ht="3" customHeight="1" thickBot="1">
      <c r="B202" s="30"/>
      <c r="C202" s="30"/>
      <c r="D202" s="17"/>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30"/>
      <c r="AR202" s="30"/>
    </row>
    <row r="203" spans="2:44" ht="12.75" customHeight="1" thickBot="1">
      <c r="B203" s="918" t="s">
        <v>974</v>
      </c>
      <c r="C203" s="926"/>
      <c r="D203" s="926"/>
      <c r="E203" s="926"/>
      <c r="F203" s="926"/>
      <c r="G203" s="926"/>
      <c r="H203" s="926"/>
      <c r="I203" s="926"/>
      <c r="J203" s="926"/>
      <c r="K203" s="926"/>
      <c r="L203" s="926"/>
      <c r="M203" s="926"/>
      <c r="N203" s="926"/>
      <c r="O203" s="926"/>
      <c r="P203" s="926"/>
      <c r="Q203" s="926"/>
      <c r="R203" s="926"/>
      <c r="S203" s="926"/>
      <c r="T203" s="926"/>
      <c r="U203" s="926"/>
      <c r="V203" s="927"/>
      <c r="W203" s="93"/>
      <c r="X203" s="918" t="s">
        <v>975</v>
      </c>
      <c r="Y203" s="919"/>
      <c r="Z203" s="919"/>
      <c r="AA203" s="919"/>
      <c r="AB203" s="919"/>
      <c r="AC203" s="919"/>
      <c r="AD203" s="919"/>
      <c r="AE203" s="919"/>
      <c r="AF203" s="919"/>
      <c r="AG203" s="919"/>
      <c r="AH203" s="919"/>
      <c r="AI203" s="919"/>
      <c r="AJ203" s="919"/>
      <c r="AK203" s="919"/>
      <c r="AL203" s="919"/>
      <c r="AM203" s="919"/>
      <c r="AN203" s="919"/>
      <c r="AO203" s="919"/>
      <c r="AP203" s="919"/>
      <c r="AQ203" s="919"/>
      <c r="AR203" s="920"/>
    </row>
    <row r="204" spans="2:44" ht="2.25" customHeight="1">
      <c r="B204" s="147"/>
      <c r="C204" s="148"/>
      <c r="D204" s="148"/>
      <c r="E204" s="148"/>
      <c r="F204" s="148"/>
      <c r="G204" s="148"/>
      <c r="H204" s="148"/>
      <c r="I204" s="148"/>
      <c r="J204" s="148"/>
      <c r="K204" s="148"/>
      <c r="L204" s="148"/>
      <c r="M204" s="148"/>
      <c r="N204" s="148"/>
      <c r="O204" s="148"/>
      <c r="P204" s="148"/>
      <c r="Q204" s="148"/>
      <c r="R204" s="148"/>
      <c r="S204" s="148"/>
      <c r="T204" s="148"/>
      <c r="U204" s="148"/>
      <c r="V204" s="149"/>
      <c r="W204" s="93"/>
      <c r="X204" s="150"/>
      <c r="Y204" s="151"/>
      <c r="Z204" s="151"/>
      <c r="AA204" s="151"/>
      <c r="AB204" s="151"/>
      <c r="AC204" s="151"/>
      <c r="AD204" s="151"/>
      <c r="AE204" s="151"/>
      <c r="AF204" s="151"/>
      <c r="AG204" s="151"/>
      <c r="AH204" s="151"/>
      <c r="AI204" s="151"/>
      <c r="AJ204" s="151"/>
      <c r="AK204" s="151"/>
      <c r="AL204" s="151"/>
      <c r="AM204" s="151"/>
      <c r="AN204" s="151"/>
      <c r="AO204" s="151"/>
      <c r="AP204" s="151"/>
      <c r="AQ204" s="151"/>
      <c r="AR204" s="152"/>
    </row>
    <row r="205" spans="2:44" ht="12.75" customHeight="1">
      <c r="B205" s="135"/>
      <c r="C205" s="97"/>
      <c r="D205" s="97"/>
      <c r="E205" s="352">
        <f>IF(OR(Data!A56=TRUE,Data!C56=TRUE,Data!D56=TRUE,Data!G56=TRUE),"Estimation des coûts (autres onglets du formulaire)",IF(Data!B56=TRUE,"Offre de service du consultant",IF(OR(Data!E56=TRUE,Data!F56=TRUE),"Plan de projet avec estimation des coûts","")))</f>
      </c>
      <c r="F205" s="98"/>
      <c r="G205" s="98"/>
      <c r="H205" s="98"/>
      <c r="I205" s="98"/>
      <c r="J205" s="98"/>
      <c r="K205" s="98"/>
      <c r="L205" s="98"/>
      <c r="M205" s="98"/>
      <c r="N205" s="98"/>
      <c r="O205" s="98"/>
      <c r="P205" s="98"/>
      <c r="Q205" s="98"/>
      <c r="R205" s="98"/>
      <c r="S205" s="98"/>
      <c r="T205" s="98"/>
      <c r="U205" s="98"/>
      <c r="V205" s="134"/>
      <c r="W205" s="98"/>
      <c r="X205" s="131"/>
      <c r="Y205" s="98"/>
      <c r="Z205" s="132" t="s">
        <v>477</v>
      </c>
      <c r="AA205" s="97"/>
      <c r="AB205" s="97"/>
      <c r="AC205" s="97"/>
      <c r="AD205" s="97"/>
      <c r="AE205" s="97"/>
      <c r="AF205" s="97"/>
      <c r="AG205" s="97"/>
      <c r="AH205" s="97"/>
      <c r="AJ205" s="136" t="s">
        <v>997</v>
      </c>
      <c r="AK205" s="97"/>
      <c r="AL205" s="97"/>
      <c r="AM205" s="97"/>
      <c r="AN205" s="97"/>
      <c r="AO205" s="97"/>
      <c r="AP205" s="97"/>
      <c r="AQ205" s="97"/>
      <c r="AR205" s="133"/>
    </row>
    <row r="206" spans="2:44" ht="2.25" customHeight="1">
      <c r="B206" s="911"/>
      <c r="C206" s="912"/>
      <c r="D206" s="912"/>
      <c r="E206" s="350"/>
      <c r="F206" s="97"/>
      <c r="G206" s="97"/>
      <c r="H206" s="97"/>
      <c r="I206" s="97"/>
      <c r="J206" s="97"/>
      <c r="K206" s="97"/>
      <c r="L206" s="97"/>
      <c r="M206" s="136"/>
      <c r="N206" s="98"/>
      <c r="O206" s="98"/>
      <c r="P206" s="98"/>
      <c r="Q206" s="98"/>
      <c r="R206" s="98"/>
      <c r="S206" s="98"/>
      <c r="T206" s="98"/>
      <c r="U206" s="98"/>
      <c r="V206" s="134"/>
      <c r="W206" s="98"/>
      <c r="X206" s="131"/>
      <c r="Y206" s="98"/>
      <c r="Z206" s="98"/>
      <c r="AA206" s="98"/>
      <c r="AB206" s="98"/>
      <c r="AC206" s="98"/>
      <c r="AD206" s="98"/>
      <c r="AE206" s="98"/>
      <c r="AF206" s="98"/>
      <c r="AG206" s="98"/>
      <c r="AH206" s="98"/>
      <c r="AI206" s="98"/>
      <c r="AJ206" s="98"/>
      <c r="AK206" s="98"/>
      <c r="AL206" s="98"/>
      <c r="AM206" s="98"/>
      <c r="AN206" s="98"/>
      <c r="AO206" s="98"/>
      <c r="AP206" s="98"/>
      <c r="AQ206" s="98"/>
      <c r="AR206" s="134"/>
    </row>
    <row r="207" spans="2:44" ht="12.75" customHeight="1">
      <c r="B207" s="131"/>
      <c r="C207" s="98"/>
      <c r="D207" s="98"/>
      <c r="E207" s="352">
        <f>IF(OR(Data!A56=TRUE,Data!C56=TRUE,Data!D56=TRUE,Data!G56=TRUE),"Plan d'implantation (autres onglets du formulaire)",IF(Data!B56=TRUE,"",IF(OR(Data!E56=TRUE,Data!F56=TRUE),"","")))</f>
      </c>
      <c r="F207" s="97"/>
      <c r="G207" s="97"/>
      <c r="H207" s="97"/>
      <c r="I207" s="97"/>
      <c r="J207" s="97"/>
      <c r="K207" s="97"/>
      <c r="L207" s="97"/>
      <c r="M207" s="97"/>
      <c r="N207" s="97"/>
      <c r="O207" s="97"/>
      <c r="P207" s="97"/>
      <c r="Q207" s="97"/>
      <c r="R207" s="97"/>
      <c r="S207" s="97"/>
      <c r="T207" s="97"/>
      <c r="U207" s="97"/>
      <c r="V207" s="133"/>
      <c r="W207" s="97"/>
      <c r="X207" s="135"/>
      <c r="Y207" s="97"/>
      <c r="Z207" s="132" t="s">
        <v>176</v>
      </c>
      <c r="AA207" s="97"/>
      <c r="AB207" s="97"/>
      <c r="AC207" s="97"/>
      <c r="AD207" s="97"/>
      <c r="AE207" s="97"/>
      <c r="AF207" s="97"/>
      <c r="AG207" s="97"/>
      <c r="AH207" s="97"/>
      <c r="AI207" s="97"/>
      <c r="AJ207" s="136" t="s">
        <v>260</v>
      </c>
      <c r="AK207" s="97"/>
      <c r="AL207" s="132"/>
      <c r="AM207" s="97"/>
      <c r="AN207" s="97"/>
      <c r="AO207" s="97"/>
      <c r="AP207" s="97"/>
      <c r="AQ207" s="97"/>
      <c r="AR207" s="133"/>
    </row>
    <row r="208" spans="2:44" ht="2.25" customHeight="1">
      <c r="B208" s="135"/>
      <c r="C208" s="97"/>
      <c r="D208" s="97"/>
      <c r="E208" s="351"/>
      <c r="F208" s="97"/>
      <c r="G208" s="97"/>
      <c r="H208" s="97"/>
      <c r="I208" s="97"/>
      <c r="J208" s="97"/>
      <c r="K208" s="97"/>
      <c r="L208" s="97"/>
      <c r="M208" s="97"/>
      <c r="N208" s="97"/>
      <c r="O208" s="97"/>
      <c r="P208" s="97"/>
      <c r="Q208" s="97"/>
      <c r="R208" s="97"/>
      <c r="S208" s="97"/>
      <c r="T208" s="97"/>
      <c r="U208" s="97"/>
      <c r="V208" s="133"/>
      <c r="W208" s="97"/>
      <c r="X208" s="135"/>
      <c r="Y208" s="97"/>
      <c r="Z208" s="97"/>
      <c r="AA208" s="97"/>
      <c r="AB208" s="97"/>
      <c r="AC208" s="97"/>
      <c r="AD208" s="97"/>
      <c r="AE208" s="97"/>
      <c r="AF208" s="97"/>
      <c r="AG208" s="97"/>
      <c r="AH208" s="97"/>
      <c r="AI208" s="97"/>
      <c r="AJ208" s="97"/>
      <c r="AK208" s="97"/>
      <c r="AL208" s="97"/>
      <c r="AM208" s="97"/>
      <c r="AN208" s="97"/>
      <c r="AO208" s="97"/>
      <c r="AP208" s="97"/>
      <c r="AQ208" s="97"/>
      <c r="AR208" s="133"/>
    </row>
    <row r="209" spans="2:44" ht="12.75" customHeight="1">
      <c r="B209" s="135"/>
      <c r="C209" s="97"/>
      <c r="D209" s="97"/>
      <c r="E209" s="352">
        <f>IF(OR(Data!A56=TRUE,Data!C56=TRUE,Data!D56=TRUE,Data!G56=TRUE),"Plan de projet",IF(Data!B56=TRUE,"",IF(OR(Data!E56=TRUE,Data!F56=TRUE),"","")))</f>
      </c>
      <c r="F209" s="98"/>
      <c r="G209" s="98"/>
      <c r="H209" s="98"/>
      <c r="I209" s="98"/>
      <c r="J209" s="98"/>
      <c r="K209" s="98"/>
      <c r="L209" s="98"/>
      <c r="M209" s="98"/>
      <c r="N209" s="98"/>
      <c r="O209" s="98"/>
      <c r="P209" s="98"/>
      <c r="Q209" s="98"/>
      <c r="R209" s="98"/>
      <c r="S209" s="98"/>
      <c r="T209" s="98"/>
      <c r="U209" s="98"/>
      <c r="V209" s="134"/>
      <c r="W209" s="98"/>
      <c r="X209" s="131"/>
      <c r="Y209" s="97"/>
      <c r="Z209" s="97" t="s">
        <v>192</v>
      </c>
      <c r="AA209" s="98"/>
      <c r="AB209" s="98"/>
      <c r="AC209" s="98"/>
      <c r="AD209" s="98"/>
      <c r="AE209" s="98"/>
      <c r="AF209" s="98"/>
      <c r="AG209" s="98"/>
      <c r="AH209" s="98"/>
      <c r="AI209" s="98"/>
      <c r="AJ209" s="98"/>
      <c r="AK209" s="98"/>
      <c r="AL209" s="98"/>
      <c r="AM209" s="98"/>
      <c r="AN209" s="98"/>
      <c r="AO209" s="98"/>
      <c r="AP209" s="98"/>
      <c r="AQ209" s="98"/>
      <c r="AR209" s="134"/>
    </row>
    <row r="210" spans="2:44" ht="2.25" customHeight="1">
      <c r="B210" s="131"/>
      <c r="C210" s="98"/>
      <c r="D210" s="98"/>
      <c r="E210" s="353"/>
      <c r="F210" s="97"/>
      <c r="G210" s="97"/>
      <c r="H210" s="97"/>
      <c r="I210" s="97"/>
      <c r="J210" s="97"/>
      <c r="K210" s="97"/>
      <c r="L210" s="97"/>
      <c r="M210" s="97"/>
      <c r="N210" s="97"/>
      <c r="O210" s="97"/>
      <c r="P210" s="97"/>
      <c r="Q210" s="97"/>
      <c r="R210" s="97"/>
      <c r="S210" s="97"/>
      <c r="T210" s="97"/>
      <c r="U210" s="97"/>
      <c r="V210" s="133"/>
      <c r="W210" s="97"/>
      <c r="X210" s="135"/>
      <c r="Y210" s="97"/>
      <c r="Z210" s="98"/>
      <c r="AA210" s="98"/>
      <c r="AB210" s="98"/>
      <c r="AC210" s="98"/>
      <c r="AD210" s="98"/>
      <c r="AE210" s="98"/>
      <c r="AF210" s="98"/>
      <c r="AG210" s="98"/>
      <c r="AH210" s="98"/>
      <c r="AI210" s="98"/>
      <c r="AJ210" s="98"/>
      <c r="AK210" s="98"/>
      <c r="AL210" s="98"/>
      <c r="AM210" s="98"/>
      <c r="AN210" s="98"/>
      <c r="AO210" s="98"/>
      <c r="AP210" s="98"/>
      <c r="AQ210" s="98"/>
      <c r="AR210" s="134"/>
    </row>
    <row r="211" spans="2:44" ht="12.75" customHeight="1">
      <c r="B211" s="131"/>
      <c r="C211" s="98"/>
      <c r="D211" s="98"/>
      <c r="E211" s="352">
        <f>IF(OR(Data!A56=TRUE,Data!C56=TRUE,Data!D56=TRUE,Data!G56=TRUE),"Plan de surveillance","")</f>
      </c>
      <c r="F211" s="98"/>
      <c r="G211" s="98"/>
      <c r="H211" s="98"/>
      <c r="I211" s="98"/>
      <c r="J211" s="98"/>
      <c r="K211" s="98"/>
      <c r="L211" s="98"/>
      <c r="M211" s="98"/>
      <c r="N211" s="98"/>
      <c r="O211" s="98"/>
      <c r="P211" s="98"/>
      <c r="Q211" s="98"/>
      <c r="R211" s="98"/>
      <c r="S211" s="98"/>
      <c r="T211" s="98"/>
      <c r="U211" s="98"/>
      <c r="V211" s="134"/>
      <c r="W211" s="98"/>
      <c r="X211" s="131"/>
      <c r="Y211" s="98"/>
      <c r="Z211" s="136" t="s">
        <v>1007</v>
      </c>
      <c r="AA211" s="98"/>
      <c r="AB211" s="98"/>
      <c r="AC211" s="98"/>
      <c r="AD211" s="98"/>
      <c r="AE211" s="98"/>
      <c r="AF211" s="98"/>
      <c r="AG211" s="98"/>
      <c r="AH211" s="98"/>
      <c r="AI211" s="98"/>
      <c r="AJ211" s="98"/>
      <c r="AK211" s="98"/>
      <c r="AL211" s="98"/>
      <c r="AM211" s="98"/>
      <c r="AN211" s="98"/>
      <c r="AO211" s="98"/>
      <c r="AP211" s="98"/>
      <c r="AQ211" s="98"/>
      <c r="AR211" s="134"/>
    </row>
    <row r="212" spans="2:44" ht="2.25" customHeight="1">
      <c r="B212" s="131"/>
      <c r="C212" s="98"/>
      <c r="D212" s="98"/>
      <c r="E212" s="354"/>
      <c r="F212" s="97"/>
      <c r="G212" s="97"/>
      <c r="H212" s="97"/>
      <c r="I212" s="97"/>
      <c r="J212" s="97"/>
      <c r="K212" s="97"/>
      <c r="L212" s="97"/>
      <c r="M212" s="97"/>
      <c r="N212" s="97"/>
      <c r="O212" s="97"/>
      <c r="P212" s="97"/>
      <c r="Q212" s="97"/>
      <c r="R212" s="97"/>
      <c r="S212" s="97"/>
      <c r="T212" s="97"/>
      <c r="U212" s="97"/>
      <c r="V212" s="133"/>
      <c r="W212" s="97"/>
      <c r="X212" s="135"/>
      <c r="Y212" s="97"/>
      <c r="Z212" s="137"/>
      <c r="AA212" s="98"/>
      <c r="AB212" s="98"/>
      <c r="AC212" s="98"/>
      <c r="AD212" s="98"/>
      <c r="AE212" s="98"/>
      <c r="AF212" s="98"/>
      <c r="AG212" s="98"/>
      <c r="AH212" s="98"/>
      <c r="AI212" s="98"/>
      <c r="AJ212" s="98"/>
      <c r="AK212" s="98"/>
      <c r="AL212" s="98"/>
      <c r="AM212" s="98"/>
      <c r="AN212" s="98"/>
      <c r="AO212" s="98"/>
      <c r="AP212" s="98"/>
      <c r="AQ212" s="98"/>
      <c r="AR212" s="134"/>
    </row>
    <row r="213" spans="2:44" ht="12.75" customHeight="1">
      <c r="B213" s="911"/>
      <c r="C213" s="912"/>
      <c r="D213" s="912"/>
      <c r="F213" s="97"/>
      <c r="G213" s="97"/>
      <c r="H213" s="97"/>
      <c r="I213" s="97"/>
      <c r="J213" s="97"/>
      <c r="K213" s="97"/>
      <c r="L213" s="97"/>
      <c r="M213" s="97"/>
      <c r="N213" s="97"/>
      <c r="O213" s="97"/>
      <c r="P213" s="97"/>
      <c r="Q213" s="97"/>
      <c r="R213" s="97"/>
      <c r="S213" s="97"/>
      <c r="T213" s="97"/>
      <c r="U213" s="97"/>
      <c r="V213" s="133"/>
      <c r="W213" s="97"/>
      <c r="X213" s="135"/>
      <c r="Y213" s="97"/>
      <c r="Z213" s="435" t="s">
        <v>976</v>
      </c>
      <c r="AA213" s="138"/>
      <c r="AB213" s="97"/>
      <c r="AC213" s="97"/>
      <c r="AD213" s="97"/>
      <c r="AE213" s="97"/>
      <c r="AF213" s="97"/>
      <c r="AG213" s="97"/>
      <c r="AH213" s="97"/>
      <c r="AI213" s="97"/>
      <c r="AJ213" s="97"/>
      <c r="AK213" s="97"/>
      <c r="AL213" s="97"/>
      <c r="AM213" s="97"/>
      <c r="AN213" s="97"/>
      <c r="AO213" s="97"/>
      <c r="AP213" s="97"/>
      <c r="AQ213" s="97"/>
      <c r="AR213" s="133"/>
    </row>
    <row r="214" spans="2:44" ht="2.25" customHeight="1">
      <c r="B214" s="911"/>
      <c r="C214" s="912"/>
      <c r="D214" s="912"/>
      <c r="E214" s="354"/>
      <c r="F214" s="98"/>
      <c r="G214" s="98"/>
      <c r="H214" s="98"/>
      <c r="I214" s="98"/>
      <c r="J214" s="98"/>
      <c r="K214" s="98"/>
      <c r="L214" s="98"/>
      <c r="M214" s="98"/>
      <c r="N214" s="98"/>
      <c r="O214" s="98"/>
      <c r="P214" s="98"/>
      <c r="Q214" s="98"/>
      <c r="R214" s="98"/>
      <c r="S214" s="98"/>
      <c r="T214" s="98"/>
      <c r="U214" s="98"/>
      <c r="V214" s="134"/>
      <c r="W214" s="98"/>
      <c r="X214" s="131"/>
      <c r="Y214" s="98"/>
      <c r="Z214" s="137"/>
      <c r="AA214" s="98"/>
      <c r="AB214" s="98"/>
      <c r="AC214" s="98"/>
      <c r="AD214" s="98"/>
      <c r="AE214" s="98"/>
      <c r="AF214" s="98"/>
      <c r="AG214" s="98"/>
      <c r="AH214" s="98"/>
      <c r="AI214" s="98"/>
      <c r="AJ214" s="98"/>
      <c r="AK214" s="98"/>
      <c r="AL214" s="98"/>
      <c r="AM214" s="98"/>
      <c r="AN214" s="98"/>
      <c r="AO214" s="98"/>
      <c r="AP214" s="98"/>
      <c r="AQ214" s="98"/>
      <c r="AR214" s="134"/>
    </row>
    <row r="215" spans="2:44" ht="12.75" customHeight="1">
      <c r="B215" s="131"/>
      <c r="C215" s="98"/>
      <c r="D215" s="98"/>
      <c r="F215" s="97"/>
      <c r="G215" s="97"/>
      <c r="H215" s="97"/>
      <c r="I215" s="97"/>
      <c r="J215" s="97"/>
      <c r="K215" s="97"/>
      <c r="L215" s="97"/>
      <c r="M215" s="97"/>
      <c r="N215" s="97"/>
      <c r="O215" s="97"/>
      <c r="P215" s="97"/>
      <c r="Q215" s="97"/>
      <c r="R215" s="97"/>
      <c r="S215" s="97"/>
      <c r="T215" s="97"/>
      <c r="U215" s="97"/>
      <c r="V215" s="133"/>
      <c r="W215" s="97"/>
      <c r="X215" s="135"/>
      <c r="Y215" s="97"/>
      <c r="Z215" s="98"/>
      <c r="AA215" s="138"/>
      <c r="AB215" s="138"/>
      <c r="AC215" s="138"/>
      <c r="AD215" s="138"/>
      <c r="AE215" s="138"/>
      <c r="AF215" s="138"/>
      <c r="AG215" s="138"/>
      <c r="AH215" s="138"/>
      <c r="AI215" s="138"/>
      <c r="AJ215" s="138"/>
      <c r="AK215" s="138"/>
      <c r="AL215" s="138"/>
      <c r="AM215" s="138"/>
      <c r="AN215" s="138"/>
      <c r="AO215" s="138"/>
      <c r="AP215" s="138"/>
      <c r="AQ215" s="138"/>
      <c r="AR215" s="133"/>
    </row>
    <row r="216" spans="2:44" ht="2.25" customHeight="1">
      <c r="B216" s="135"/>
      <c r="C216" s="97"/>
      <c r="D216" s="97"/>
      <c r="E216" s="354"/>
      <c r="F216" s="98"/>
      <c r="G216" s="98"/>
      <c r="H216" s="98"/>
      <c r="I216" s="98"/>
      <c r="J216" s="98"/>
      <c r="K216" s="98"/>
      <c r="L216" s="98"/>
      <c r="M216" s="98"/>
      <c r="N216" s="98"/>
      <c r="O216" s="98"/>
      <c r="P216" s="98"/>
      <c r="Q216" s="98"/>
      <c r="R216" s="98"/>
      <c r="S216" s="98"/>
      <c r="T216" s="98"/>
      <c r="U216" s="98"/>
      <c r="V216" s="134"/>
      <c r="W216" s="98"/>
      <c r="X216" s="131"/>
      <c r="Y216" s="98"/>
      <c r="Z216" s="137"/>
      <c r="AA216" s="137"/>
      <c r="AB216" s="137"/>
      <c r="AC216" s="137"/>
      <c r="AD216" s="137"/>
      <c r="AE216" s="137"/>
      <c r="AF216" s="137"/>
      <c r="AG216" s="137"/>
      <c r="AH216" s="137"/>
      <c r="AI216" s="137"/>
      <c r="AJ216" s="137"/>
      <c r="AK216" s="137"/>
      <c r="AL216" s="137"/>
      <c r="AM216" s="137"/>
      <c r="AN216" s="137"/>
      <c r="AO216" s="137"/>
      <c r="AP216" s="137"/>
      <c r="AQ216" s="137"/>
      <c r="AR216" s="134"/>
    </row>
    <row r="217" spans="2:44" ht="12.75" customHeight="1">
      <c r="B217" s="131"/>
      <c r="C217" s="98"/>
      <c r="D217" s="98"/>
      <c r="E217" s="355">
        <f>IF(Data!A56=TRUE,"Preuve de financement (si applicable)","")</f>
      </c>
      <c r="F217" s="97"/>
      <c r="G217" s="97"/>
      <c r="H217" s="97"/>
      <c r="I217" s="97"/>
      <c r="J217" s="97"/>
      <c r="K217" s="97"/>
      <c r="L217" s="97"/>
      <c r="M217" s="97"/>
      <c r="N217" s="97"/>
      <c r="O217" s="97"/>
      <c r="P217" s="97"/>
      <c r="Q217" s="97"/>
      <c r="R217" s="97"/>
      <c r="S217" s="97"/>
      <c r="T217" s="97"/>
      <c r="U217" s="97"/>
      <c r="V217" s="133"/>
      <c r="W217" s="97"/>
      <c r="X217" s="135"/>
      <c r="Y217" s="97"/>
      <c r="Z217" s="98"/>
      <c r="AA217" s="138"/>
      <c r="AB217" s="138"/>
      <c r="AC217" s="138"/>
      <c r="AD217" s="138"/>
      <c r="AE217" s="138"/>
      <c r="AF217" s="138"/>
      <c r="AG217" s="138"/>
      <c r="AH217" s="138"/>
      <c r="AI217" s="138"/>
      <c r="AJ217" s="138"/>
      <c r="AK217" s="138"/>
      <c r="AL217" s="138"/>
      <c r="AM217" s="138"/>
      <c r="AN217" s="138"/>
      <c r="AO217" s="138"/>
      <c r="AP217" s="138"/>
      <c r="AQ217" s="138"/>
      <c r="AR217" s="133"/>
    </row>
    <row r="218" spans="2:44" ht="2.25" customHeight="1">
      <c r="B218" s="135"/>
      <c r="C218" s="97"/>
      <c r="D218" s="97"/>
      <c r="E218" s="354"/>
      <c r="F218" s="98"/>
      <c r="G218" s="98"/>
      <c r="H218" s="98"/>
      <c r="I218" s="98"/>
      <c r="J218" s="98"/>
      <c r="K218" s="98"/>
      <c r="L218" s="98"/>
      <c r="M218" s="98"/>
      <c r="N218" s="98"/>
      <c r="O218" s="98"/>
      <c r="P218" s="98"/>
      <c r="Q218" s="98"/>
      <c r="R218" s="98"/>
      <c r="S218" s="98"/>
      <c r="T218" s="98"/>
      <c r="U218" s="98"/>
      <c r="V218" s="134"/>
      <c r="W218" s="98"/>
      <c r="X218" s="131"/>
      <c r="Y218" s="98"/>
      <c r="Z218" s="137"/>
      <c r="AA218" s="137"/>
      <c r="AB218" s="137"/>
      <c r="AC218" s="137"/>
      <c r="AD218" s="137"/>
      <c r="AE218" s="137"/>
      <c r="AF218" s="137"/>
      <c r="AG218" s="137"/>
      <c r="AH218" s="137"/>
      <c r="AI218" s="137"/>
      <c r="AJ218" s="137"/>
      <c r="AK218" s="137"/>
      <c r="AL218" s="137"/>
      <c r="AM218" s="137"/>
      <c r="AN218" s="137"/>
      <c r="AO218" s="137"/>
      <c r="AP218" s="137"/>
      <c r="AQ218" s="137"/>
      <c r="AR218" s="134"/>
    </row>
    <row r="219" spans="2:44" ht="12.75" customHeight="1">
      <c r="B219" s="135"/>
      <c r="C219" s="97"/>
      <c r="D219" s="97"/>
      <c r="E219" s="340">
        <f>IF(Data!A56=TRUE,"Curriculum vitæ des personnes et des organismes engagés","")</f>
      </c>
      <c r="F219" s="98"/>
      <c r="G219" s="98"/>
      <c r="H219" s="98"/>
      <c r="I219" s="98"/>
      <c r="J219" s="98"/>
      <c r="K219" s="98"/>
      <c r="L219" s="98"/>
      <c r="M219" s="98"/>
      <c r="N219" s="98"/>
      <c r="O219" s="98"/>
      <c r="P219" s="98"/>
      <c r="Q219" s="98"/>
      <c r="R219" s="98"/>
      <c r="S219" s="98"/>
      <c r="T219" s="98"/>
      <c r="U219" s="98"/>
      <c r="V219" s="134"/>
      <c r="W219" s="98"/>
      <c r="X219" s="131"/>
      <c r="Y219" s="98"/>
      <c r="Z219" s="98"/>
      <c r="AA219" s="138"/>
      <c r="AB219" s="138"/>
      <c r="AC219" s="138"/>
      <c r="AD219" s="138"/>
      <c r="AE219" s="138"/>
      <c r="AF219" s="138"/>
      <c r="AG219" s="138"/>
      <c r="AH219" s="138"/>
      <c r="AI219" s="138"/>
      <c r="AJ219" s="138"/>
      <c r="AK219" s="138"/>
      <c r="AL219" s="138"/>
      <c r="AM219" s="138"/>
      <c r="AN219" s="138"/>
      <c r="AO219" s="138"/>
      <c r="AP219" s="138"/>
      <c r="AQ219" s="138"/>
      <c r="AR219" s="134"/>
    </row>
    <row r="220" spans="2:44" ht="24" customHeight="1" thickBot="1">
      <c r="B220" s="143"/>
      <c r="C220" s="144"/>
      <c r="D220" s="144"/>
      <c r="E220" s="145"/>
      <c r="F220" s="140"/>
      <c r="G220" s="140"/>
      <c r="H220" s="140"/>
      <c r="I220" s="140"/>
      <c r="J220" s="140"/>
      <c r="K220" s="140"/>
      <c r="L220" s="140"/>
      <c r="M220" s="140"/>
      <c r="N220" s="140"/>
      <c r="O220" s="140"/>
      <c r="P220" s="140"/>
      <c r="Q220" s="140"/>
      <c r="R220" s="140"/>
      <c r="S220" s="140"/>
      <c r="T220" s="140"/>
      <c r="U220" s="140"/>
      <c r="V220" s="142"/>
      <c r="W220" s="97"/>
      <c r="X220" s="139"/>
      <c r="Y220" s="140"/>
      <c r="Z220" s="140"/>
      <c r="AA220" s="141"/>
      <c r="AB220" s="141"/>
      <c r="AC220" s="141"/>
      <c r="AD220" s="141"/>
      <c r="AE220" s="141"/>
      <c r="AF220" s="141"/>
      <c r="AG220" s="141"/>
      <c r="AH220" s="141"/>
      <c r="AI220" s="141"/>
      <c r="AJ220" s="141"/>
      <c r="AK220" s="141"/>
      <c r="AL220" s="141"/>
      <c r="AM220" s="141"/>
      <c r="AN220" s="141"/>
      <c r="AO220" s="141"/>
      <c r="AP220" s="141"/>
      <c r="AQ220" s="141"/>
      <c r="AR220" s="142"/>
    </row>
    <row r="221" spans="2:5" ht="12.75" customHeight="1">
      <c r="B221" s="925"/>
      <c r="C221" s="925"/>
      <c r="D221" s="925"/>
      <c r="E221" s="341"/>
    </row>
    <row r="222" spans="2:5" ht="12.75" customHeight="1">
      <c r="B222" s="924"/>
      <c r="C222" s="924"/>
      <c r="D222" s="924"/>
      <c r="E222" s="113"/>
    </row>
    <row r="223" ht="12.75" customHeight="1">
      <c r="E223" s="43"/>
    </row>
    <row r="224" spans="2:44" ht="15.75" customHeight="1">
      <c r="B224" s="482" t="s">
        <v>971</v>
      </c>
      <c r="C224" s="29"/>
      <c r="D224" s="29"/>
      <c r="E224" s="29"/>
      <c r="F224" s="29"/>
      <c r="G224" s="29"/>
      <c r="H224" s="29"/>
      <c r="I224" s="29"/>
      <c r="J224" s="29"/>
      <c r="K224" s="29"/>
      <c r="L224" s="29"/>
      <c r="M224" s="29"/>
      <c r="N224" s="29"/>
      <c r="O224" s="29"/>
      <c r="P224" s="29"/>
      <c r="Q224" s="29"/>
      <c r="R224" s="29"/>
      <c r="S224" s="29"/>
      <c r="T224" s="29"/>
      <c r="U224" s="29"/>
      <c r="V224" s="29"/>
      <c r="W224" s="29"/>
      <c r="X224" s="481"/>
      <c r="Y224" s="29"/>
      <c r="Z224" s="29"/>
      <c r="AA224" s="29"/>
      <c r="AB224" s="29"/>
      <c r="AC224" s="29"/>
      <c r="AD224" s="29"/>
      <c r="AE224" s="29"/>
      <c r="AF224" s="29"/>
      <c r="AG224" s="29"/>
      <c r="AH224" s="29"/>
      <c r="AI224" s="29"/>
      <c r="AJ224" s="29"/>
      <c r="AK224" s="29"/>
      <c r="AL224" s="29"/>
      <c r="AM224" s="29"/>
      <c r="AN224" s="29"/>
      <c r="AO224" s="29"/>
      <c r="AP224" s="591">
        <f>Instructions!J45</f>
        <v>45364</v>
      </c>
      <c r="AQ224" s="591"/>
      <c r="AR224" s="591"/>
    </row>
    <row r="225" spans="2:44" ht="6" customHeight="1">
      <c r="B225" s="538"/>
      <c r="C225" s="538"/>
      <c r="D225" s="538"/>
      <c r="E225" s="538"/>
      <c r="F225" s="538"/>
      <c r="G225" s="538"/>
      <c r="H225" s="538"/>
      <c r="I225" s="538"/>
      <c r="J225" s="538"/>
      <c r="K225" s="538"/>
      <c r="L225" s="538"/>
      <c r="M225" s="538"/>
      <c r="N225" s="538"/>
      <c r="O225" s="538"/>
      <c r="P225" s="538"/>
      <c r="Q225" s="538"/>
      <c r="R225" s="538"/>
      <c r="S225" s="538"/>
      <c r="T225" s="538"/>
      <c r="U225" s="538"/>
      <c r="V225" s="538"/>
      <c r="W225" s="538"/>
      <c r="X225" s="538"/>
      <c r="Y225" s="538"/>
      <c r="Z225" s="538"/>
      <c r="AA225" s="538"/>
      <c r="AB225" s="538"/>
      <c r="AC225" s="538"/>
      <c r="AD225" s="538"/>
      <c r="AE225" s="538"/>
      <c r="AF225" s="538"/>
      <c r="AG225" s="538"/>
      <c r="AH225" s="538"/>
      <c r="AI225" s="538"/>
      <c r="AJ225" s="538"/>
      <c r="AK225" s="538"/>
      <c r="AL225" s="538"/>
      <c r="AM225" s="538"/>
      <c r="AN225" s="538"/>
      <c r="AO225" s="538"/>
      <c r="AP225" s="538"/>
      <c r="AQ225" s="538"/>
      <c r="AR225" s="538"/>
    </row>
    <row r="226" spans="2:44" ht="12.75" customHeight="1">
      <c r="B226" s="29"/>
      <c r="C226" s="29"/>
      <c r="D226" s="29"/>
      <c r="E226" s="73"/>
      <c r="F226" s="73"/>
      <c r="G226" s="73"/>
      <c r="H226" s="73"/>
      <c r="I226" s="73"/>
      <c r="J226" s="73"/>
      <c r="K226" s="73"/>
      <c r="L226" s="73"/>
      <c r="M226" s="73"/>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row>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sheetData>
  <sheetProtection password="E71A" sheet="1" objects="1" scenarios="1"/>
  <mergeCells count="687">
    <mergeCell ref="AA178:AD178"/>
    <mergeCell ref="AA179:AD179"/>
    <mergeCell ref="AA180:AD180"/>
    <mergeCell ref="AA171:AD171"/>
    <mergeCell ref="V175:AI175"/>
    <mergeCell ref="AE176:AI176"/>
    <mergeCell ref="D173:AQ173"/>
    <mergeCell ref="AE172:AI172"/>
    <mergeCell ref="D174:AQ174"/>
    <mergeCell ref="R178:U178"/>
    <mergeCell ref="B5:B9"/>
    <mergeCell ref="AE179:AI179"/>
    <mergeCell ref="AE180:AI180"/>
    <mergeCell ref="V169:Z169"/>
    <mergeCell ref="R170:U170"/>
    <mergeCell ref="AA176:AD176"/>
    <mergeCell ref="AA177:AD177"/>
    <mergeCell ref="V170:Z170"/>
    <mergeCell ref="V171:Z171"/>
    <mergeCell ref="D84:I84"/>
    <mergeCell ref="R177:U177"/>
    <mergeCell ref="D169:Q169"/>
    <mergeCell ref="D170:Q170"/>
    <mergeCell ref="R172:U172"/>
    <mergeCell ref="D171:Q171"/>
    <mergeCell ref="D178:Q178"/>
    <mergeCell ref="B81:B91"/>
    <mergeCell ref="V142:Y142"/>
    <mergeCell ref="B104:B139"/>
    <mergeCell ref="N83:Q83"/>
    <mergeCell ref="H105:AQ105"/>
    <mergeCell ref="D91:I91"/>
    <mergeCell ref="J91:M91"/>
    <mergeCell ref="D115:U115"/>
    <mergeCell ref="L138:O138"/>
    <mergeCell ref="AC142:AE142"/>
    <mergeCell ref="B58:B70"/>
    <mergeCell ref="AC61:AO61"/>
    <mergeCell ref="V167:Z167"/>
    <mergeCell ref="R171:U171"/>
    <mergeCell ref="R169:U169"/>
    <mergeCell ref="R166:U166"/>
    <mergeCell ref="B163:B173"/>
    <mergeCell ref="AE88:AI88"/>
    <mergeCell ref="AJ82:AM82"/>
    <mergeCell ref="AE91:AI91"/>
    <mergeCell ref="D167:Q167"/>
    <mergeCell ref="AN170:AQ170"/>
    <mergeCell ref="AN171:AQ171"/>
    <mergeCell ref="AA170:AD170"/>
    <mergeCell ref="AE171:AI171"/>
    <mergeCell ref="V168:Z168"/>
    <mergeCell ref="AN169:AQ169"/>
    <mergeCell ref="AN167:AQ167"/>
    <mergeCell ref="AE169:AI169"/>
    <mergeCell ref="AA167:AD167"/>
    <mergeCell ref="H13:AD13"/>
    <mergeCell ref="H15:U15"/>
    <mergeCell ref="H20:J20"/>
    <mergeCell ref="M35:Z35"/>
    <mergeCell ref="H28:U28"/>
    <mergeCell ref="T138:X138"/>
    <mergeCell ref="H72:AC72"/>
    <mergeCell ref="H26:AC26"/>
    <mergeCell ref="H22:Z22"/>
    <mergeCell ref="AC35:AO35"/>
    <mergeCell ref="M20:Z20"/>
    <mergeCell ref="AC22:AO22"/>
    <mergeCell ref="AL15:AQ15"/>
    <mergeCell ref="AI24:AO24"/>
    <mergeCell ref="AC20:AO20"/>
    <mergeCell ref="H24:AC24"/>
    <mergeCell ref="AP20:AQ20"/>
    <mergeCell ref="D18:AQ18"/>
    <mergeCell ref="D17:U17"/>
    <mergeCell ref="H35:J35"/>
    <mergeCell ref="H33:Z33"/>
    <mergeCell ref="AI43:AO43"/>
    <mergeCell ref="AI50:AO50"/>
    <mergeCell ref="AI52:AO52"/>
    <mergeCell ref="AC48:AO48"/>
    <mergeCell ref="H48:Z48"/>
    <mergeCell ref="Z43:AC43"/>
    <mergeCell ref="AC46:AO46"/>
    <mergeCell ref="R84:U84"/>
    <mergeCell ref="V82:Z82"/>
    <mergeCell ref="AE84:AI84"/>
    <mergeCell ref="AJ83:AM83"/>
    <mergeCell ref="AI65:AO65"/>
    <mergeCell ref="Z78:AC78"/>
    <mergeCell ref="H76:U76"/>
    <mergeCell ref="H65:AC65"/>
    <mergeCell ref="D83:I83"/>
    <mergeCell ref="R83:U83"/>
    <mergeCell ref="AQ72:AQ73"/>
    <mergeCell ref="AI69:AO69"/>
    <mergeCell ref="AE69:AF69"/>
    <mergeCell ref="AA82:AD82"/>
    <mergeCell ref="D82:U82"/>
    <mergeCell ref="AI67:AO67"/>
    <mergeCell ref="AI72:AO72"/>
    <mergeCell ref="H67:U67"/>
    <mergeCell ref="Z67:AC67"/>
    <mergeCell ref="V89:Z89"/>
    <mergeCell ref="X102:Y102"/>
    <mergeCell ref="AI63:AO63"/>
    <mergeCell ref="Z76:AC76"/>
    <mergeCell ref="H74:AC74"/>
    <mergeCell ref="N91:U91"/>
    <mergeCell ref="V91:Z91"/>
    <mergeCell ref="V84:Z84"/>
    <mergeCell ref="AE82:AI82"/>
    <mergeCell ref="N84:Q84"/>
    <mergeCell ref="AJ160:AL160"/>
    <mergeCell ref="H158:U158"/>
    <mergeCell ref="D86:I86"/>
    <mergeCell ref="J86:M86"/>
    <mergeCell ref="N86:Q86"/>
    <mergeCell ref="AC91:AD91"/>
    <mergeCell ref="J89:M89"/>
    <mergeCell ref="AA86:AD86"/>
    <mergeCell ref="R86:U86"/>
    <mergeCell ref="D89:I89"/>
    <mergeCell ref="AA85:AD85"/>
    <mergeCell ref="AA84:AD84"/>
    <mergeCell ref="U102:V102"/>
    <mergeCell ref="AA87:AD87"/>
    <mergeCell ref="AM142:AO142"/>
    <mergeCell ref="V88:Z88"/>
    <mergeCell ref="AN91:AO91"/>
    <mergeCell ref="AA91:AB91"/>
    <mergeCell ref="AA89:AD89"/>
    <mergeCell ref="AM130:AQ130"/>
    <mergeCell ref="AA169:AD169"/>
    <mergeCell ref="AA166:AD166"/>
    <mergeCell ref="AI95:AJ95"/>
    <mergeCell ref="AI97:AJ97"/>
    <mergeCell ref="AE89:AI89"/>
    <mergeCell ref="AN188:AQ188"/>
    <mergeCell ref="V187:AD187"/>
    <mergeCell ref="V188:AD188"/>
    <mergeCell ref="AE188:AM188"/>
    <mergeCell ref="AJ161:AL161"/>
    <mergeCell ref="AE165:AI165"/>
    <mergeCell ref="AE178:AI178"/>
    <mergeCell ref="AJ89:AM89"/>
    <mergeCell ref="AJ180:AM180"/>
    <mergeCell ref="AJ178:AM178"/>
    <mergeCell ref="AE166:AI166"/>
    <mergeCell ref="AE167:AI167"/>
    <mergeCell ref="AJ170:AM170"/>
    <mergeCell ref="AJ171:AM171"/>
    <mergeCell ref="AC130:AF130"/>
    <mergeCell ref="B4:AR4"/>
    <mergeCell ref="H11:AD11"/>
    <mergeCell ref="AL13:AQ13"/>
    <mergeCell ref="H41:AC41"/>
    <mergeCell ref="AI39:AO39"/>
    <mergeCell ref="AC37:AO37"/>
    <mergeCell ref="AI41:AO41"/>
    <mergeCell ref="AI28:AO28"/>
    <mergeCell ref="AL11:AQ11"/>
    <mergeCell ref="B10:B18"/>
    <mergeCell ref="B197:B201"/>
    <mergeCell ref="B32:B44"/>
    <mergeCell ref="B45:B57"/>
    <mergeCell ref="H39:AC39"/>
    <mergeCell ref="V190:AD190"/>
    <mergeCell ref="H63:AC63"/>
    <mergeCell ref="H46:J46"/>
    <mergeCell ref="D166:Q166"/>
    <mergeCell ref="M46:Z46"/>
    <mergeCell ref="H54:U54"/>
    <mergeCell ref="H61:Z61"/>
    <mergeCell ref="H50:AC50"/>
    <mergeCell ref="H59:J59"/>
    <mergeCell ref="AE56:AF56"/>
    <mergeCell ref="AI54:AO54"/>
    <mergeCell ref="AI56:AO56"/>
    <mergeCell ref="B19:B31"/>
    <mergeCell ref="H52:AC52"/>
    <mergeCell ref="M59:Z59"/>
    <mergeCell ref="AC59:AO59"/>
    <mergeCell ref="Z15:AD15"/>
    <mergeCell ref="AI26:AO26"/>
    <mergeCell ref="H37:Z37"/>
    <mergeCell ref="Z28:AC28"/>
    <mergeCell ref="H43:U43"/>
    <mergeCell ref="Z54:AC54"/>
    <mergeCell ref="AN193:AQ193"/>
    <mergeCell ref="AE193:AM193"/>
    <mergeCell ref="AN189:AQ189"/>
    <mergeCell ref="AN192:AQ192"/>
    <mergeCell ref="V177:Z177"/>
    <mergeCell ref="AJ182:AM182"/>
    <mergeCell ref="AJ183:AM183"/>
    <mergeCell ref="AE181:AI181"/>
    <mergeCell ref="V180:Z180"/>
    <mergeCell ref="AA181:AD181"/>
    <mergeCell ref="D196:AQ196"/>
    <mergeCell ref="D194:G194"/>
    <mergeCell ref="H194:U194"/>
    <mergeCell ref="D191:G191"/>
    <mergeCell ref="AN195:AQ195"/>
    <mergeCell ref="AE194:AM194"/>
    <mergeCell ref="AN191:AQ191"/>
    <mergeCell ref="AE191:AM191"/>
    <mergeCell ref="AN194:AQ194"/>
    <mergeCell ref="AE192:AM192"/>
    <mergeCell ref="AA168:AD168"/>
    <mergeCell ref="AE168:AI168"/>
    <mergeCell ref="AN166:AQ166"/>
    <mergeCell ref="AN168:AQ168"/>
    <mergeCell ref="H164:Q164"/>
    <mergeCell ref="H192:U192"/>
    <mergeCell ref="R167:U167"/>
    <mergeCell ref="V183:Z183"/>
    <mergeCell ref="H190:U190"/>
    <mergeCell ref="R164:AD164"/>
    <mergeCell ref="R165:U165"/>
    <mergeCell ref="V165:Z165"/>
    <mergeCell ref="J198:AD198"/>
    <mergeCell ref="B206:D206"/>
    <mergeCell ref="B213:D213"/>
    <mergeCell ref="H175:Q175"/>
    <mergeCell ref="V176:Z176"/>
    <mergeCell ref="D177:Q177"/>
    <mergeCell ref="D180:Q180"/>
    <mergeCell ref="B174:B184"/>
    <mergeCell ref="X203:AR203"/>
    <mergeCell ref="AJ198:AQ198"/>
    <mergeCell ref="B222:D222"/>
    <mergeCell ref="B221:D221"/>
    <mergeCell ref="B203:V203"/>
    <mergeCell ref="V166:Z166"/>
    <mergeCell ref="B185:B196"/>
    <mergeCell ref="D168:Q168"/>
    <mergeCell ref="D192:G192"/>
    <mergeCell ref="D193:G193"/>
    <mergeCell ref="R168:U168"/>
    <mergeCell ref="V195:AD195"/>
    <mergeCell ref="B214:D214"/>
    <mergeCell ref="AA165:AD165"/>
    <mergeCell ref="D163:AQ163"/>
    <mergeCell ref="AM161:AO161"/>
    <mergeCell ref="AC161:AE161"/>
    <mergeCell ref="Z161:AB161"/>
    <mergeCell ref="AJ165:AM165"/>
    <mergeCell ref="AN165:AQ165"/>
    <mergeCell ref="AE164:AQ164"/>
    <mergeCell ref="AJ167:AM167"/>
    <mergeCell ref="AE190:AM190"/>
    <mergeCell ref="AE177:AI177"/>
    <mergeCell ref="AE183:AI183"/>
    <mergeCell ref="AJ179:AM179"/>
    <mergeCell ref="AJ168:AM168"/>
    <mergeCell ref="AE170:AI170"/>
    <mergeCell ref="V186:AM186"/>
    <mergeCell ref="AN172:AQ172"/>
    <mergeCell ref="D186:U186"/>
    <mergeCell ref="V192:AD192"/>
    <mergeCell ref="AE189:AM189"/>
    <mergeCell ref="AN177:AQ183"/>
    <mergeCell ref="V194:AD194"/>
    <mergeCell ref="R181:U181"/>
    <mergeCell ref="R183:U183"/>
    <mergeCell ref="V191:AD191"/>
    <mergeCell ref="V193:AD193"/>
    <mergeCell ref="AN190:AQ190"/>
    <mergeCell ref="AE195:AM195"/>
    <mergeCell ref="D183:Q183"/>
    <mergeCell ref="D182:Q182"/>
    <mergeCell ref="R182:U182"/>
    <mergeCell ref="H191:U191"/>
    <mergeCell ref="D189:G189"/>
    <mergeCell ref="D190:G190"/>
    <mergeCell ref="H188:U188"/>
    <mergeCell ref="D188:G188"/>
    <mergeCell ref="AE182:AI182"/>
    <mergeCell ref="AA172:AD172"/>
    <mergeCell ref="D179:Q179"/>
    <mergeCell ref="AJ175:AM176"/>
    <mergeCell ref="V178:Z178"/>
    <mergeCell ref="V179:Z179"/>
    <mergeCell ref="D175:G175"/>
    <mergeCell ref="AJ177:AM177"/>
    <mergeCell ref="D172:Q172"/>
    <mergeCell ref="R175:U176"/>
    <mergeCell ref="R179:U179"/>
    <mergeCell ref="R180:U180"/>
    <mergeCell ref="D181:Q181"/>
    <mergeCell ref="V181:Z181"/>
    <mergeCell ref="AA182:AD182"/>
    <mergeCell ref="AA183:AD183"/>
    <mergeCell ref="D184:AQ184"/>
    <mergeCell ref="AJ181:AM181"/>
    <mergeCell ref="N88:Q88"/>
    <mergeCell ref="D87:I87"/>
    <mergeCell ref="AJ172:AM172"/>
    <mergeCell ref="V172:Z172"/>
    <mergeCell ref="D187:G187"/>
    <mergeCell ref="H187:U187"/>
    <mergeCell ref="D161:Y161"/>
    <mergeCell ref="D164:G164"/>
    <mergeCell ref="AJ166:AM166"/>
    <mergeCell ref="AJ169:AM169"/>
    <mergeCell ref="V83:Z83"/>
    <mergeCell ref="AA83:AD83"/>
    <mergeCell ref="AE83:AI83"/>
    <mergeCell ref="J83:M83"/>
    <mergeCell ref="D88:I88"/>
    <mergeCell ref="J88:M88"/>
    <mergeCell ref="J85:M85"/>
    <mergeCell ref="N85:Q85"/>
    <mergeCell ref="R85:U85"/>
    <mergeCell ref="V85:Z85"/>
    <mergeCell ref="H193:U193"/>
    <mergeCell ref="D185:AQ185"/>
    <mergeCell ref="AN186:AQ186"/>
    <mergeCell ref="V189:AD189"/>
    <mergeCell ref="R89:U89"/>
    <mergeCell ref="H189:U189"/>
    <mergeCell ref="V182:Z182"/>
    <mergeCell ref="AE187:AM187"/>
    <mergeCell ref="AN187:AQ187"/>
    <mergeCell ref="AJ145:AL145"/>
    <mergeCell ref="AJ85:AM85"/>
    <mergeCell ref="AJ84:AM84"/>
    <mergeCell ref="AN88:AQ88"/>
    <mergeCell ref="AN87:AQ87"/>
    <mergeCell ref="AN84:AQ84"/>
    <mergeCell ref="AJ87:AM87"/>
    <mergeCell ref="AJ86:AM86"/>
    <mergeCell ref="AJ88:AM88"/>
    <mergeCell ref="AN85:AQ85"/>
    <mergeCell ref="R87:U87"/>
    <mergeCell ref="V87:Z87"/>
    <mergeCell ref="V86:Z86"/>
    <mergeCell ref="J87:M87"/>
    <mergeCell ref="N87:Q87"/>
    <mergeCell ref="AG129:AK129"/>
    <mergeCell ref="D113:AM113"/>
    <mergeCell ref="T129:X129"/>
    <mergeCell ref="AI96:AJ96"/>
    <mergeCell ref="J100:O100"/>
    <mergeCell ref="AP143:AQ143"/>
    <mergeCell ref="AC144:AE144"/>
    <mergeCell ref="AF154:AI154"/>
    <mergeCell ref="V90:Z90"/>
    <mergeCell ref="AJ90:AM90"/>
    <mergeCell ref="AA90:AD90"/>
    <mergeCell ref="AE90:AI90"/>
    <mergeCell ref="AJ142:AL142"/>
    <mergeCell ref="AF142:AI142"/>
    <mergeCell ref="V141:AI141"/>
    <mergeCell ref="AJ143:AL143"/>
    <mergeCell ref="AJ144:AL144"/>
    <mergeCell ref="AM143:AO143"/>
    <mergeCell ref="AF145:AI145"/>
    <mergeCell ref="AF144:AI144"/>
    <mergeCell ref="AM145:AO145"/>
    <mergeCell ref="AP102:AQ102"/>
    <mergeCell ref="D112:AM112"/>
    <mergeCell ref="D129:G130"/>
    <mergeCell ref="H134:K134"/>
    <mergeCell ref="P130:S130"/>
    <mergeCell ref="D148:U148"/>
    <mergeCell ref="AP144:AQ144"/>
    <mergeCell ref="AP146:AQ146"/>
    <mergeCell ref="AP147:AQ147"/>
    <mergeCell ref="AF143:AI143"/>
    <mergeCell ref="H156:U156"/>
    <mergeCell ref="D147:U147"/>
    <mergeCell ref="V146:Y146"/>
    <mergeCell ref="AF147:AI147"/>
    <mergeCell ref="AJ147:AL147"/>
    <mergeCell ref="AC156:AE156"/>
    <mergeCell ref="D156:G156"/>
    <mergeCell ref="AJ154:AL154"/>
    <mergeCell ref="AJ146:AL146"/>
    <mergeCell ref="V154:Y154"/>
    <mergeCell ref="L133:O133"/>
    <mergeCell ref="H138:K138"/>
    <mergeCell ref="T130:X130"/>
    <mergeCell ref="Y130:AB130"/>
    <mergeCell ref="D141:U141"/>
    <mergeCell ref="L134:O134"/>
    <mergeCell ref="D132:F138"/>
    <mergeCell ref="P134:S134"/>
    <mergeCell ref="J136:X136"/>
    <mergeCell ref="AC147:AE147"/>
    <mergeCell ref="AM154:AO154"/>
    <mergeCell ref="AM148:AO148"/>
    <mergeCell ref="AC148:AE148"/>
    <mergeCell ref="AM153:AO153"/>
    <mergeCell ref="D149:AQ149"/>
    <mergeCell ref="Z153:AB153"/>
    <mergeCell ref="D153:G153"/>
    <mergeCell ref="H153:U153"/>
    <mergeCell ref="H154:U154"/>
    <mergeCell ref="Z144:AB144"/>
    <mergeCell ref="Z145:AB145"/>
    <mergeCell ref="P138:S138"/>
    <mergeCell ref="D143:U143"/>
    <mergeCell ref="Y137:AB137"/>
    <mergeCell ref="AM144:AO144"/>
    <mergeCell ref="Z143:AB143"/>
    <mergeCell ref="V143:Y143"/>
    <mergeCell ref="Z142:AB142"/>
    <mergeCell ref="AJ141:AQ141"/>
    <mergeCell ref="B140:B149"/>
    <mergeCell ref="D140:AQ140"/>
    <mergeCell ref="B150:B162"/>
    <mergeCell ref="D150:AQ150"/>
    <mergeCell ref="D151:U152"/>
    <mergeCell ref="AP153:AQ153"/>
    <mergeCell ref="AF153:AI153"/>
    <mergeCell ref="V144:Y144"/>
    <mergeCell ref="V145:Y145"/>
    <mergeCell ref="Z146:AB146"/>
    <mergeCell ref="AB107:AE107"/>
    <mergeCell ref="L130:O130"/>
    <mergeCell ref="AN113:AQ113"/>
    <mergeCell ref="L129:O129"/>
    <mergeCell ref="P129:S129"/>
    <mergeCell ref="D123:U123"/>
    <mergeCell ref="AN107:AQ107"/>
    <mergeCell ref="AN112:AQ112"/>
    <mergeCell ref="Z102:AJ102"/>
    <mergeCell ref="V148:Y148"/>
    <mergeCell ref="V151:AL151"/>
    <mergeCell ref="AF148:AI148"/>
    <mergeCell ref="AJ148:AL148"/>
    <mergeCell ref="Z147:AB147"/>
    <mergeCell ref="AC146:AE146"/>
    <mergeCell ref="Y129:AB129"/>
    <mergeCell ref="AC145:AE145"/>
    <mergeCell ref="AC143:AE143"/>
    <mergeCell ref="AN102:AO102"/>
    <mergeCell ref="H130:K130"/>
    <mergeCell ref="AL129:AQ129"/>
    <mergeCell ref="D142:U142"/>
    <mergeCell ref="AG134:AK134"/>
    <mergeCell ref="R102:T102"/>
    <mergeCell ref="AP142:AQ142"/>
    <mergeCell ref="AG133:AK133"/>
    <mergeCell ref="AN108:AQ108"/>
    <mergeCell ref="AC129:AF129"/>
    <mergeCell ref="AA93:AC93"/>
    <mergeCell ref="AJ91:AM91"/>
    <mergeCell ref="AA88:AD88"/>
    <mergeCell ref="AE86:AI86"/>
    <mergeCell ref="G132:G138"/>
    <mergeCell ref="AK102:AM102"/>
    <mergeCell ref="AL133:AQ133"/>
    <mergeCell ref="AG130:AK130"/>
    <mergeCell ref="H129:K129"/>
    <mergeCell ref="Y132:AQ132"/>
    <mergeCell ref="AP33:AQ33"/>
    <mergeCell ref="AN90:AQ90"/>
    <mergeCell ref="AE85:AI85"/>
    <mergeCell ref="AN86:AQ86"/>
    <mergeCell ref="AN82:AQ82"/>
    <mergeCell ref="AN95:AO95"/>
    <mergeCell ref="AP35:AQ35"/>
    <mergeCell ref="AP46:AQ46"/>
    <mergeCell ref="AP59:AQ59"/>
    <mergeCell ref="AN83:AQ83"/>
    <mergeCell ref="Z94:AQ94"/>
    <mergeCell ref="AK96:AM96"/>
    <mergeCell ref="AP95:AQ95"/>
    <mergeCell ref="AP96:AQ96"/>
    <mergeCell ref="AN96:AO96"/>
    <mergeCell ref="AK95:AM95"/>
    <mergeCell ref="AP91:AQ91"/>
    <mergeCell ref="AI74:AO74"/>
    <mergeCell ref="AE87:AI87"/>
    <mergeCell ref="AI76:AO76"/>
    <mergeCell ref="D81:AQ81"/>
    <mergeCell ref="AC137:AF137"/>
    <mergeCell ref="AG137:AK137"/>
    <mergeCell ref="AL137:AQ137"/>
    <mergeCell ref="AC134:AF134"/>
    <mergeCell ref="O107:R107"/>
    <mergeCell ref="AT154:AV154"/>
    <mergeCell ref="AT155:AV155"/>
    <mergeCell ref="AG138:AK138"/>
    <mergeCell ref="AM138:AQ138"/>
    <mergeCell ref="AP154:AQ154"/>
    <mergeCell ref="AJ153:AL153"/>
    <mergeCell ref="AM146:AO146"/>
    <mergeCell ref="AF146:AI146"/>
    <mergeCell ref="AM147:AO147"/>
    <mergeCell ref="AP145:AQ145"/>
    <mergeCell ref="H159:U159"/>
    <mergeCell ref="V159:Y159"/>
    <mergeCell ref="P133:S133"/>
    <mergeCell ref="V155:Y155"/>
    <mergeCell ref="V152:AQ152"/>
    <mergeCell ref="Z148:AB148"/>
    <mergeCell ref="AM134:AQ134"/>
    <mergeCell ref="V147:Y147"/>
    <mergeCell ref="L137:O137"/>
    <mergeCell ref="P137:S137"/>
    <mergeCell ref="AM158:AO158"/>
    <mergeCell ref="AM157:AO157"/>
    <mergeCell ref="AJ156:AL156"/>
    <mergeCell ref="AJ157:AL157"/>
    <mergeCell ref="H155:U155"/>
    <mergeCell ref="Z155:AB155"/>
    <mergeCell ref="V157:Y157"/>
    <mergeCell ref="Z157:AB157"/>
    <mergeCell ref="H157:U157"/>
    <mergeCell ref="AF157:AI157"/>
    <mergeCell ref="AP160:AQ160"/>
    <mergeCell ref="AP161:AQ161"/>
    <mergeCell ref="AM159:AO159"/>
    <mergeCell ref="J132:X132"/>
    <mergeCell ref="H133:K133"/>
    <mergeCell ref="H137:K137"/>
    <mergeCell ref="T133:X133"/>
    <mergeCell ref="T134:X134"/>
    <mergeCell ref="Y134:AB134"/>
    <mergeCell ref="T137:X137"/>
    <mergeCell ref="AT160:AV160"/>
    <mergeCell ref="AM160:AO160"/>
    <mergeCell ref="D162:AQ162"/>
    <mergeCell ref="D160:G160"/>
    <mergeCell ref="Z160:AB160"/>
    <mergeCell ref="AC160:AE160"/>
    <mergeCell ref="H160:U160"/>
    <mergeCell ref="V160:Y160"/>
    <mergeCell ref="AF160:AI160"/>
    <mergeCell ref="AF161:AI161"/>
    <mergeCell ref="AT159:AV159"/>
    <mergeCell ref="AF158:AI158"/>
    <mergeCell ref="V158:Y158"/>
    <mergeCell ref="Z158:AB158"/>
    <mergeCell ref="AC158:AE158"/>
    <mergeCell ref="AF159:AI159"/>
    <mergeCell ref="AC159:AE159"/>
    <mergeCell ref="Z159:AB159"/>
    <mergeCell ref="AP159:AQ159"/>
    <mergeCell ref="AJ159:AL159"/>
    <mergeCell ref="AT158:AV158"/>
    <mergeCell ref="AJ158:AL158"/>
    <mergeCell ref="AJ155:AL155"/>
    <mergeCell ref="AP157:AQ157"/>
    <mergeCell ref="AM156:AO156"/>
    <mergeCell ref="AM155:AO155"/>
    <mergeCell ref="AP156:AQ156"/>
    <mergeCell ref="AP155:AQ155"/>
    <mergeCell ref="AP158:AQ158"/>
    <mergeCell ref="AT156:AV156"/>
    <mergeCell ref="D155:G155"/>
    <mergeCell ref="D157:G157"/>
    <mergeCell ref="D145:U145"/>
    <mergeCell ref="D154:G154"/>
    <mergeCell ref="AT157:AV157"/>
    <mergeCell ref="AM151:AQ151"/>
    <mergeCell ref="AP148:AQ148"/>
    <mergeCell ref="V153:Y153"/>
    <mergeCell ref="Z154:AB154"/>
    <mergeCell ref="AF155:AI155"/>
    <mergeCell ref="AC154:AE154"/>
    <mergeCell ref="AC153:AE153"/>
    <mergeCell ref="V156:Y156"/>
    <mergeCell ref="Z156:AB156"/>
    <mergeCell ref="AF156:AI156"/>
    <mergeCell ref="AC155:AE155"/>
    <mergeCell ref="AC157:AE157"/>
    <mergeCell ref="AP101:AQ101"/>
    <mergeCell ref="G100:I100"/>
    <mergeCell ref="D159:G159"/>
    <mergeCell ref="D158:G158"/>
    <mergeCell ref="Y133:AB133"/>
    <mergeCell ref="AC133:AF133"/>
    <mergeCell ref="AC138:AF138"/>
    <mergeCell ref="Y138:AB138"/>
    <mergeCell ref="D146:U146"/>
    <mergeCell ref="D144:U144"/>
    <mergeCell ref="E101:F101"/>
    <mergeCell ref="G101:I101"/>
    <mergeCell ref="P101:Q101"/>
    <mergeCell ref="J101:O101"/>
    <mergeCell ref="AK101:AM101"/>
    <mergeCell ref="Z101:AB101"/>
    <mergeCell ref="R101:T101"/>
    <mergeCell ref="AC101:AH101"/>
    <mergeCell ref="X101:Y101"/>
    <mergeCell ref="AK100:AM100"/>
    <mergeCell ref="AN111:AQ111"/>
    <mergeCell ref="AI99:AJ99"/>
    <mergeCell ref="AI101:AJ101"/>
    <mergeCell ref="X99:Y99"/>
    <mergeCell ref="U100:W100"/>
    <mergeCell ref="AN101:AO101"/>
    <mergeCell ref="U101:W101"/>
    <mergeCell ref="AC99:AH99"/>
    <mergeCell ref="AI100:AJ100"/>
    <mergeCell ref="P99:Q99"/>
    <mergeCell ref="E100:F100"/>
    <mergeCell ref="X97:Y97"/>
    <mergeCell ref="R100:T100"/>
    <mergeCell ref="J98:O98"/>
    <mergeCell ref="J99:O99"/>
    <mergeCell ref="U99:W99"/>
    <mergeCell ref="P100:Q100"/>
    <mergeCell ref="X98:Y98"/>
    <mergeCell ref="X100:Y100"/>
    <mergeCell ref="AN100:AO100"/>
    <mergeCell ref="AN98:AO98"/>
    <mergeCell ref="AP99:AQ99"/>
    <mergeCell ref="AN99:AO99"/>
    <mergeCell ref="AN97:AO97"/>
    <mergeCell ref="AP98:AQ98"/>
    <mergeCell ref="AP100:AQ100"/>
    <mergeCell ref="AP97:AQ97"/>
    <mergeCell ref="AC97:AH97"/>
    <mergeCell ref="Z95:AB95"/>
    <mergeCell ref="AK97:AM97"/>
    <mergeCell ref="AK98:AM98"/>
    <mergeCell ref="AK99:AM99"/>
    <mergeCell ref="U98:W98"/>
    <mergeCell ref="Z96:AB96"/>
    <mergeCell ref="AC98:AH98"/>
    <mergeCell ref="AI98:AJ98"/>
    <mergeCell ref="R96:T96"/>
    <mergeCell ref="X96:Y96"/>
    <mergeCell ref="R95:T95"/>
    <mergeCell ref="E96:F96"/>
    <mergeCell ref="AC100:AH100"/>
    <mergeCell ref="Z99:AB99"/>
    <mergeCell ref="Z100:AB100"/>
    <mergeCell ref="Z97:AB97"/>
    <mergeCell ref="Z98:AB98"/>
    <mergeCell ref="U95:W95"/>
    <mergeCell ref="J84:M84"/>
    <mergeCell ref="P96:Q96"/>
    <mergeCell ref="D90:M90"/>
    <mergeCell ref="N90:Q90"/>
    <mergeCell ref="R90:U90"/>
    <mergeCell ref="J95:O95"/>
    <mergeCell ref="G95:I95"/>
    <mergeCell ref="D94:F94"/>
    <mergeCell ref="U96:W96"/>
    <mergeCell ref="G94:Y94"/>
    <mergeCell ref="C6:U9"/>
    <mergeCell ref="C5:U5"/>
    <mergeCell ref="V5:AR5"/>
    <mergeCell ref="V6:AR9"/>
    <mergeCell ref="R98:T98"/>
    <mergeCell ref="P95:Q95"/>
    <mergeCell ref="V93:Z93"/>
    <mergeCell ref="D92:AQ92"/>
    <mergeCell ref="AC95:AH95"/>
    <mergeCell ref="N89:Q89"/>
    <mergeCell ref="D85:I85"/>
    <mergeCell ref="D197:AQ197"/>
    <mergeCell ref="R99:T99"/>
    <mergeCell ref="P97:Q97"/>
    <mergeCell ref="J96:O96"/>
    <mergeCell ref="J97:O97"/>
    <mergeCell ref="G98:I98"/>
    <mergeCell ref="G96:I96"/>
    <mergeCell ref="G97:I97"/>
    <mergeCell ref="P98:Q98"/>
    <mergeCell ref="D102:Q102"/>
    <mergeCell ref="D80:AQ80"/>
    <mergeCell ref="D116:AQ120"/>
    <mergeCell ref="E98:F98"/>
    <mergeCell ref="E99:F99"/>
    <mergeCell ref="AC96:AH96"/>
    <mergeCell ref="X95:Y95"/>
    <mergeCell ref="D103:AQ103"/>
    <mergeCell ref="R88:U88"/>
    <mergeCell ref="AN89:AQ89"/>
    <mergeCell ref="AP224:AR224"/>
    <mergeCell ref="B3:AR3"/>
    <mergeCell ref="D79:U79"/>
    <mergeCell ref="R97:T97"/>
    <mergeCell ref="U97:W97"/>
    <mergeCell ref="B92:B103"/>
    <mergeCell ref="G99:I99"/>
    <mergeCell ref="B71:B80"/>
    <mergeCell ref="E95:F95"/>
    <mergeCell ref="E97:F97"/>
  </mergeCells>
  <conditionalFormatting sqref="R177:U182">
    <cfRule type="expression" priority="6" dxfId="2" stopIfTrue="1">
      <formula>IF(C$176=FALSE,TRUE,FALSE)</formula>
    </cfRule>
    <cfRule type="expression" priority="7" dxfId="57" stopIfTrue="1">
      <formula>IF(C$176=TRUE,TRUE,FALSE)</formula>
    </cfRule>
  </conditionalFormatting>
  <conditionalFormatting sqref="AF143:AI147">
    <cfRule type="cellIs" priority="8" dxfId="4" operator="notEqual" stopIfTrue="1">
      <formula>AJ143+AM143</formula>
    </cfRule>
  </conditionalFormatting>
  <conditionalFormatting sqref="AJ143:AL143">
    <cfRule type="cellIs" priority="9" dxfId="4" operator="greaterThan" stopIfTrue="1">
      <formula>100000</formula>
    </cfRule>
    <cfRule type="cellIs" priority="10" dxfId="4" operator="notEqual" stopIfTrue="1">
      <formula>AF143-AM143</formula>
    </cfRule>
  </conditionalFormatting>
  <conditionalFormatting sqref="AM143:AO147">
    <cfRule type="cellIs" priority="11" dxfId="4" operator="notEqual" stopIfTrue="1">
      <formula>AF143-AJ143</formula>
    </cfRule>
  </conditionalFormatting>
  <conditionalFormatting sqref="AJ144:AL144">
    <cfRule type="cellIs" priority="12" dxfId="4" operator="greaterThan" stopIfTrue="1">
      <formula>1000000</formula>
    </cfRule>
    <cfRule type="cellIs" priority="13" dxfId="4" operator="notEqual" stopIfTrue="1">
      <formula>AF144-AM144</formula>
    </cfRule>
  </conditionalFormatting>
  <conditionalFormatting sqref="AJ145:AL145">
    <cfRule type="cellIs" priority="14" dxfId="4" operator="greaterThan" stopIfTrue="1">
      <formula>25000</formula>
    </cfRule>
    <cfRule type="cellIs" priority="15" dxfId="4" operator="notEqual" stopIfTrue="1">
      <formula>AF145-AM145</formula>
    </cfRule>
  </conditionalFormatting>
  <conditionalFormatting sqref="AJ146:AL146">
    <cfRule type="cellIs" priority="16" dxfId="4" operator="greaterThan" stopIfTrue="1">
      <formula>50000</formula>
    </cfRule>
    <cfRule type="cellIs" priority="17" dxfId="4" operator="notEqual" stopIfTrue="1">
      <formula>AF146-AM146</formula>
    </cfRule>
  </conditionalFormatting>
  <conditionalFormatting sqref="AJ147:AL147">
    <cfRule type="cellIs" priority="18" dxfId="4" operator="greaterThan" stopIfTrue="1">
      <formula>10000</formula>
    </cfRule>
    <cfRule type="cellIs" priority="19" dxfId="4" operator="notEqual" stopIfTrue="1">
      <formula>AF147-AM147</formula>
    </cfRule>
  </conditionalFormatting>
  <conditionalFormatting sqref="AN111 N84 N85:U89 AE166:AI171 AJ166:AM171 AN186 AE188:AM194 V166:Z171 R166:U171 AM151 V85:Z89 V177:Z182 AA177:AD182 AJ177:AM182">
    <cfRule type="cellIs" priority="20" dxfId="0" operator="equal" stopIfTrue="1">
      <formula>0</formula>
    </cfRule>
  </conditionalFormatting>
  <conditionalFormatting sqref="R96:R101 AK96:AK101 AP91:AQ91 AC59:AQ59 AE82:AI82 AN82:AQ82 D85:I89 Z96:AC101 AL15:AQ15 AQ52 M59:Z59 M46:Z46 H156:U160 AI52:AO52 Z67:AC67">
    <cfRule type="cellIs" priority="21" dxfId="0" operator="equal" stopIfTrue="1">
      <formula>""</formula>
    </cfRule>
  </conditionalFormatting>
  <conditionalFormatting sqref="D177:Q182 D157:G160 V190:AD194 V155:V160 AE56:AF56 H59:J59 U96:U101 AN96:AN101 H46:J46 D156:G156 AE69:AF69 AC91:AD91 D188:G194">
    <cfRule type="cellIs" priority="22" dxfId="0" operator="equal" stopIfTrue="1">
      <formula>"Choisir…"</formula>
    </cfRule>
  </conditionalFormatting>
  <conditionalFormatting sqref="V189:AD189 H35:J35 H20:J20">
    <cfRule type="cellIs" priority="23" dxfId="23" operator="equal" stopIfTrue="1">
      <formula>"Choisir…"</formula>
    </cfRule>
  </conditionalFormatting>
  <conditionalFormatting sqref="AF148:AI148">
    <cfRule type="cellIs" priority="24" dxfId="4" operator="notEqual" stopIfTrue="1">
      <formula>$AM$161</formula>
    </cfRule>
  </conditionalFormatting>
  <conditionalFormatting sqref="AM161:AO161">
    <cfRule type="cellIs" priority="25" dxfId="4" operator="notEqual" stopIfTrue="1">
      <formula>$AF$148</formula>
    </cfRule>
  </conditionalFormatting>
  <conditionalFormatting sqref="Z154:AB154 AJ148:AL148">
    <cfRule type="cellIs" priority="26" dxfId="4" operator="greaterThan" stopIfTrue="1">
      <formula>1000000</formula>
    </cfRule>
  </conditionalFormatting>
  <conditionalFormatting sqref="AP144:AQ147">
    <cfRule type="cellIs" priority="27" dxfId="4" operator="greaterThan" stopIfTrue="1">
      <formula>0.5</formula>
    </cfRule>
  </conditionalFormatting>
  <conditionalFormatting sqref="AP143:AQ143">
    <cfRule type="cellIs" priority="28" dxfId="4" operator="greaterThan" stopIfTrue="1">
      <formula>0.75</formula>
    </cfRule>
    <cfRule type="cellIs" priority="29" dxfId="22" operator="between" stopIfTrue="1">
      <formula>0.2500001</formula>
      <formula>0.75</formula>
    </cfRule>
  </conditionalFormatting>
  <conditionalFormatting sqref="J91:M91">
    <cfRule type="cellIs" priority="30" dxfId="34" operator="equal" stopIfTrue="1">
      <formula>""</formula>
    </cfRule>
  </conditionalFormatting>
  <conditionalFormatting sqref="AI76:AO76">
    <cfRule type="cellIs" priority="31" dxfId="23" operator="equal" stopIfTrue="1">
      <formula>"Choisir…"</formula>
    </cfRule>
  </conditionalFormatting>
  <conditionalFormatting sqref="AP154:AQ154">
    <cfRule type="cellIs" priority="32" dxfId="4" operator="greaterThan" stopIfTrue="1">
      <formula>0.75</formula>
    </cfRule>
  </conditionalFormatting>
  <conditionalFormatting sqref="AN172:AQ172">
    <cfRule type="cellIs" priority="33" dxfId="4" operator="notEqual" stopIfTrue="1">
      <formula>IF(AR164=FALSE,AE195,AN172)</formula>
    </cfRule>
  </conditionalFormatting>
  <conditionalFormatting sqref="AA172:AD172">
    <cfRule type="cellIs" priority="34" dxfId="4" operator="notEqual" stopIfTrue="1">
      <formula>IF(AR164=TRUE,$AE$195,AA172)</formula>
    </cfRule>
  </conditionalFormatting>
  <conditionalFormatting sqref="AE183:AI183">
    <cfRule type="cellIs" priority="35" dxfId="4" operator="notEqual" stopIfTrue="1">
      <formula>$AE$195</formula>
    </cfRule>
  </conditionalFormatting>
  <conditionalFormatting sqref="AE195:AM195">
    <cfRule type="cellIs" priority="36" dxfId="4" operator="notEqual" stopIfTrue="1">
      <formula>IF(AR164=TRUE,AA172,IF(AR174=TRUE,$AE$183,$AN$172))</formula>
    </cfRule>
  </conditionalFormatting>
  <conditionalFormatting sqref="AJ198:AQ198 H105:AQ105 Z76:AC76 AN107:AQ107 O107 H72:AC72 H74:AC74 AI72:AO72 AI74:AO74 D84:I84 Z15:AD15 H11:AD11 H13:AD13 H15:U15 AL13:AQ13 M20:Z20 Z43:AC43 Z28:AC28 AI39:AO39">
    <cfRule type="cellIs" priority="4" dxfId="23" operator="equal" stopIfTrue="1">
      <formula>""</formula>
    </cfRule>
  </conditionalFormatting>
  <conditionalFormatting sqref="H22 H43 AC22 H24 H26 M35 H37 AI24 AC35:AO35 AC37 H41 AC20:AO20 H39 AI41 AB107 H76 H28 D18 D80 D116">
    <cfRule type="cellIs" priority="5" dxfId="23" operator="equal" stopIfTrue="1">
      <formula>""</formula>
    </cfRule>
  </conditionalFormatting>
  <conditionalFormatting sqref="H48 H67 E96:O101 AQ65 AI67 H61 AI54 AC61 AI43 H63 H65 AI26 AI28 H52 AQ26 AI69 AQ41 AI56 AI63 AI65 AP20 AP35">
    <cfRule type="cellIs" priority="3" dxfId="0" operator="equal" stopIfTrue="1">
      <formula>""</formula>
    </cfRule>
  </conditionalFormatting>
  <conditionalFormatting sqref="AC48:AO48 Z54:AC54 AC46:AQ46 H50:AC50 H54:U54 H190:U194 AI50:AO50 V91:Z91 AJ91:AM91 J91:M91">
    <cfRule type="cellIs" priority="2" dxfId="0" operator="equal" stopIfTrue="1">
      <formula>""</formula>
    </cfRule>
  </conditionalFormatting>
  <conditionalFormatting sqref="R84 V84">
    <cfRule type="cellIs" priority="1" dxfId="23" operator="equal" stopIfTrue="1">
      <formula>0</formula>
    </cfRule>
  </conditionalFormatting>
  <dataValidations count="19">
    <dataValidation type="list" allowBlank="1" showInputMessage="1" showErrorMessage="1" sqref="H59 H35 H20 H46">
      <formula1>Appel</formula1>
    </dataValidation>
    <dataValidation type="list" allowBlank="1" showInputMessage="1" showErrorMessage="1" sqref="AI76:AO76">
      <formula1>Type_Entreprise</formula1>
    </dataValidation>
    <dataValidation type="list" allowBlank="1" showInputMessage="1" showErrorMessage="1" sqref="V189:V194 V156 V158:V160 V157:Y157 V155:Y155">
      <formula1>Type_Aide</formula1>
    </dataValidation>
    <dataValidation type="list" allowBlank="1" showInputMessage="1" showErrorMessage="1" sqref="D154:G160">
      <formula1>Fin_Autre</formula1>
    </dataValidation>
    <dataValidation type="list" allowBlank="1" showInputMessage="1" showErrorMessage="1" sqref="AE56:AF56 AE69:AF69">
      <formula1>Ordre</formula1>
    </dataValidation>
    <dataValidation type="list" allowBlank="1" showInputMessage="1" showErrorMessage="1" sqref="D84:I89 AM138:AQ138">
      <formula1>Énergie</formula1>
    </dataValidation>
    <dataValidation type="list" allowBlank="1" showInputMessage="1" showErrorMessage="1" sqref="J96:J101 AC96:AC101">
      <formula1>PRP</formula1>
    </dataValidation>
    <dataValidation type="list" allowBlank="1" showInputMessage="1" showErrorMessage="1" sqref="U96:U101 AN96:AN101">
      <formula1>Unite</formula1>
    </dataValidation>
    <dataValidation type="list" allowBlank="1" showInputMessage="1" showErrorMessage="1" sqref="D177:Q177">
      <formula1>INDIRECT(C175)</formula1>
    </dataValidation>
    <dataValidation type="list" allowBlank="1" showInputMessage="1" showErrorMessage="1" sqref="D178:Q178">
      <formula1>INDIRECT(C175)</formula1>
    </dataValidation>
    <dataValidation type="list" allowBlank="1" showInputMessage="1" showErrorMessage="1" sqref="D179:Q179">
      <formula1>INDIRECT(C175)</formula1>
    </dataValidation>
    <dataValidation type="list" allowBlank="1" showInputMessage="1" showErrorMessage="1" sqref="D180:Q180">
      <formula1>INDIRECT(C175)</formula1>
    </dataValidation>
    <dataValidation type="list" allowBlank="1" showInputMessage="1" showErrorMessage="1" sqref="D181:Q181">
      <formula1>INDIRECT(C175)</formula1>
    </dataValidation>
    <dataValidation type="list" allowBlank="1" showInputMessage="1" showErrorMessage="1" sqref="D182:Q182">
      <formula1>INDIRECT(C175)</formula1>
    </dataValidation>
    <dataValidation type="list" allowBlank="1" showInputMessage="1" showErrorMessage="1" sqref="E96:F101">
      <formula1>Type_sys</formula1>
    </dataValidation>
    <dataValidation type="list" allowBlank="1" showInputMessage="1" showErrorMessage="1" sqref="AC91:AD91">
      <formula1>Unite_Surface</formula1>
    </dataValidation>
    <dataValidation errorStyle="information" type="textLength" operator="equal" allowBlank="1" showInputMessage="1" showErrorMessage="1" promptTitle="Code Postal" prompt="Le code postal doit contenir 7 caractères dont un espace au 4e caractère." errorTitle="Code postal" error="Le code postal doit contenir 7 caractères dont un espace au 4e caractère." sqref="Z15:AD15 Z28:AC28 Z43:AC43 Z54:AC54 Z67:AC67 Z76:AC76">
      <formula1>7</formula1>
    </dataValidation>
    <dataValidation type="list" allowBlank="1" showInputMessage="1" showErrorMessage="1" sqref="D190:G190 D191:G191 D192:G192 D193:G193 D194:G194">
      <formula1>Fin_autre3</formula1>
    </dataValidation>
    <dataValidation type="date" operator="greaterThan" allowBlank="1" showInputMessage="1" showErrorMessage="1" prompt="La date doit être entrée sous le format &#10;aaaa-mm-jj.&#10;&#10;Exemple : 2023-06-23" sqref="AE82:AI82 AN82:AQ82 AN107:AQ107 AB107:AE107 O107:R107 AJ198:AQ198">
      <formula1>1</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5" scale="72" r:id="rId3"/>
  <headerFooter>
    <oddFooter>&amp;L&amp;"Arial Narrow,Gras"&amp;8Ministère de l’Environnement, de la Lutte contre les changements climatiques, de la Faune et des Parcs&amp;R&amp;"Arial Narrow,Normal"&amp;8 2023-05-25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Feuil3"/>
  <dimension ref="A1:A1"/>
  <sheetViews>
    <sheetView zoomScalePageLayoutView="0" workbookViewId="0" topLeftCell="A1">
      <selection activeCell="A1" sqref="A1"/>
    </sheetView>
  </sheetViews>
  <sheetFormatPr defaultColWidth="11.421875" defaultRowHeight="12.75"/>
  <sheetData/>
  <sheetProtection password="E71A"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4">
    <pageSetUpPr fitToPage="1"/>
  </sheetPr>
  <dimension ref="A4:AR59"/>
  <sheetViews>
    <sheetView showGridLines="0" showRowColHeaders="0" showOutlineSymbols="0" zoomScalePageLayoutView="0" workbookViewId="0" topLeftCell="A1">
      <selection activeCell="A16" sqref="A16"/>
    </sheetView>
  </sheetViews>
  <sheetFormatPr defaultColWidth="11.421875" defaultRowHeight="12.75"/>
  <cols>
    <col min="1" max="1" width="8.57421875" style="0" customWidth="1"/>
    <col min="2" max="2" width="29.8515625" style="0" customWidth="1"/>
    <col min="3" max="3" width="10.57421875" style="0" customWidth="1"/>
    <col min="4" max="4" width="16.8515625" style="0" customWidth="1"/>
    <col min="5" max="5" width="7.57421875" style="0" customWidth="1"/>
    <col min="6" max="6" width="17.140625" style="0" customWidth="1"/>
    <col min="7" max="8" width="6.00390625" style="0" customWidth="1"/>
    <col min="9" max="9" width="8.00390625" style="0" customWidth="1"/>
    <col min="10" max="10" width="10.8515625" style="0" customWidth="1"/>
    <col min="11" max="11" width="9.574218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421875" style="0" customWidth="1"/>
    <col min="26" max="26" width="4.57421875" style="0" customWidth="1"/>
    <col min="27" max="27" width="10.00390625" style="0" customWidth="1"/>
    <col min="28" max="28" width="20.421875" style="0" customWidth="1"/>
    <col min="29" max="29" width="9.421875" style="0" customWidth="1"/>
    <col min="30" max="30" width="5.57421875" style="0" customWidth="1"/>
    <col min="31" max="31" width="5.421875" style="0" customWidth="1"/>
    <col min="32" max="32" width="6.00390625" style="0" customWidth="1"/>
    <col min="33" max="33" width="6.00390625" style="0" hidden="1" customWidth="1"/>
    <col min="34" max="34" width="10.57421875" style="315" hidden="1" customWidth="1"/>
    <col min="35" max="35" width="16.57421875" style="315" hidden="1" customWidth="1"/>
    <col min="36" max="36" width="13.57421875" style="315" hidden="1" customWidth="1"/>
    <col min="37" max="38" width="14.140625" style="315" hidden="1" customWidth="1"/>
    <col min="39" max="39" width="14.421875" style="315" hidden="1" customWidth="1"/>
    <col min="40" max="40" width="11.421875" style="315" hidden="1" customWidth="1"/>
    <col min="41" max="41" width="11.57421875" style="315" hidden="1" customWidth="1"/>
    <col min="42" max="42" width="12.8515625" style="315" hidden="1" customWidth="1"/>
    <col min="43" max="43" width="9.8515625" style="315" hidden="1" customWidth="1"/>
    <col min="44" max="44" width="20.140625" style="315" hidden="1" customWidth="1"/>
  </cols>
  <sheetData>
    <row r="2" ht="18.75" customHeight="1"/>
    <row r="3" ht="18" customHeight="1"/>
    <row r="4" spans="2:3" ht="15.75" customHeight="1">
      <c r="B4" s="537" t="s">
        <v>998</v>
      </c>
      <c r="C4" s="437"/>
    </row>
    <row r="5" spans="1:3" ht="20.25">
      <c r="A5" s="42"/>
      <c r="C5" s="436"/>
    </row>
    <row r="6" ht="12.75">
      <c r="A6" s="440" t="s">
        <v>990</v>
      </c>
    </row>
    <row r="7" spans="1:33" ht="15.75">
      <c r="A7" s="42"/>
      <c r="U7" s="31"/>
      <c r="V7" s="30"/>
      <c r="W7" s="30"/>
      <c r="X7" s="30"/>
      <c r="Y7" s="30"/>
      <c r="Z7" s="30"/>
      <c r="AA7" s="30"/>
      <c r="AB7" s="32"/>
      <c r="AC7" s="32"/>
      <c r="AD7" s="32"/>
      <c r="AE7" s="30"/>
      <c r="AF7" s="30"/>
      <c r="AG7" s="30"/>
    </row>
    <row r="8" spans="1:33" ht="12.75">
      <c r="A8" s="374"/>
      <c r="B8" s="447" t="s">
        <v>1144</v>
      </c>
      <c r="C8" s="1010">
        <f>IF('1. Demande'!H11="","",'1. Demande'!H11)</f>
      </c>
      <c r="D8" s="1010"/>
      <c r="E8" s="1010"/>
      <c r="F8" s="1010"/>
      <c r="G8" s="1010"/>
      <c r="S8" s="30"/>
      <c r="AA8" s="44" t="s">
        <v>155</v>
      </c>
      <c r="AB8" s="1016" t="str">
        <f>CONCATENATE(IF('1. Demande'!M35="","",'1. Demande'!M35)," ",IF('1. Demande'!AC35="","",'1. Demande'!AC35))</f>
        <v> </v>
      </c>
      <c r="AC8" s="1016"/>
      <c r="AD8" s="1016"/>
      <c r="AE8" s="1016"/>
      <c r="AF8" s="1016"/>
      <c r="AG8" s="384"/>
    </row>
    <row r="9" spans="1:31" ht="12.75">
      <c r="A9" s="374"/>
      <c r="B9" s="447" t="s">
        <v>1148</v>
      </c>
      <c r="C9" s="949"/>
      <c r="D9" s="949"/>
      <c r="J9" s="33"/>
      <c r="AA9" s="44" t="s">
        <v>463</v>
      </c>
      <c r="AB9" s="949"/>
      <c r="AC9" s="949"/>
      <c r="AD9" s="33"/>
      <c r="AE9" s="33"/>
    </row>
    <row r="10" spans="7:30" ht="12.75">
      <c r="G10" s="31"/>
      <c r="H10" s="31"/>
      <c r="M10" s="33"/>
      <c r="N10" s="33"/>
      <c r="O10" s="33"/>
      <c r="T10" s="30"/>
      <c r="U10" s="30"/>
      <c r="AB10" s="34"/>
      <c r="AC10" s="34"/>
      <c r="AD10" s="34"/>
    </row>
    <row r="11" spans="1:44" s="120" customFormat="1" ht="21" customHeight="1">
      <c r="A11" s="460" t="s">
        <v>156</v>
      </c>
      <c r="B11" s="461"/>
      <c r="C11" s="462"/>
      <c r="D11" s="462"/>
      <c r="E11" s="462"/>
      <c r="F11" s="461"/>
      <c r="G11" s="461"/>
      <c r="H11" s="461"/>
      <c r="I11" s="461"/>
      <c r="J11" s="461"/>
      <c r="K11" s="461"/>
      <c r="L11" s="461"/>
      <c r="M11" s="461"/>
      <c r="N11" s="461"/>
      <c r="O11" s="461"/>
      <c r="P11" s="461"/>
      <c r="Q11" s="461"/>
      <c r="R11" s="461"/>
      <c r="S11" s="461"/>
      <c r="T11" s="461"/>
      <c r="U11" s="461"/>
      <c r="V11" s="461"/>
      <c r="W11" s="461"/>
      <c r="X11" s="461"/>
      <c r="Y11" s="461"/>
      <c r="Z11" s="461"/>
      <c r="AA11" s="461"/>
      <c r="AB11" s="463"/>
      <c r="AC11" s="1030" t="s">
        <v>1146</v>
      </c>
      <c r="AD11" s="1031"/>
      <c r="AE11" s="1031"/>
      <c r="AF11" s="1032"/>
      <c r="AG11" s="385"/>
      <c r="AH11" s="317"/>
      <c r="AI11" s="317"/>
      <c r="AJ11" s="317"/>
      <c r="AK11" s="317"/>
      <c r="AL11" s="317"/>
      <c r="AM11" s="317"/>
      <c r="AN11" s="317"/>
      <c r="AO11" s="317"/>
      <c r="AP11" s="317"/>
      <c r="AQ11" s="317"/>
      <c r="AR11" s="317"/>
    </row>
    <row r="12" spans="1:44" s="120" customFormat="1" ht="35.25" customHeight="1">
      <c r="A12" s="1017" t="s">
        <v>978</v>
      </c>
      <c r="B12" s="1011" t="s">
        <v>134</v>
      </c>
      <c r="C12" s="1011" t="s">
        <v>277</v>
      </c>
      <c r="D12" s="1011" t="s">
        <v>278</v>
      </c>
      <c r="E12" s="1017" t="s">
        <v>281</v>
      </c>
      <c r="F12" s="1042" t="s">
        <v>271</v>
      </c>
      <c r="G12" s="1043"/>
      <c r="H12" s="1043"/>
      <c r="I12" s="1043"/>
      <c r="J12" s="1043"/>
      <c r="K12" s="1044"/>
      <c r="L12" s="1034" t="s">
        <v>162</v>
      </c>
      <c r="M12" s="1034"/>
      <c r="N12" s="1034"/>
      <c r="O12" s="1034"/>
      <c r="P12" s="1035"/>
      <c r="Q12" s="1033" t="s">
        <v>135</v>
      </c>
      <c r="R12" s="1034"/>
      <c r="S12" s="1034"/>
      <c r="T12" s="1035"/>
      <c r="U12" s="1042" t="s">
        <v>273</v>
      </c>
      <c r="V12" s="1050"/>
      <c r="W12" s="1033" t="s">
        <v>981</v>
      </c>
      <c r="X12" s="1035"/>
      <c r="Y12" s="1021" t="s">
        <v>982</v>
      </c>
      <c r="Z12" s="1021" t="s">
        <v>108</v>
      </c>
      <c r="AA12" s="1027" t="s">
        <v>983</v>
      </c>
      <c r="AB12" s="1011" t="s">
        <v>136</v>
      </c>
      <c r="AC12" s="1027" t="s">
        <v>984</v>
      </c>
      <c r="AD12" s="1021" t="s">
        <v>137</v>
      </c>
      <c r="AE12" s="1021" t="s">
        <v>985</v>
      </c>
      <c r="AF12" s="1021" t="s">
        <v>38</v>
      </c>
      <c r="AG12" s="386"/>
      <c r="AH12" s="317"/>
      <c r="AI12" s="317"/>
      <c r="AJ12" s="317"/>
      <c r="AK12" s="317"/>
      <c r="AL12" s="317"/>
      <c r="AM12" s="317"/>
      <c r="AN12" s="317"/>
      <c r="AO12" s="317"/>
      <c r="AP12" s="317"/>
      <c r="AQ12" s="317"/>
      <c r="AR12" s="317"/>
    </row>
    <row r="13" spans="1:44" s="120" customFormat="1" ht="12.75" customHeight="1">
      <c r="A13" s="1036"/>
      <c r="B13" s="1038"/>
      <c r="C13" s="1012"/>
      <c r="D13" s="1012"/>
      <c r="E13" s="1012"/>
      <c r="F13" s="1040" t="s">
        <v>979</v>
      </c>
      <c r="G13" s="1018" t="s">
        <v>119</v>
      </c>
      <c r="H13" s="1025" t="s">
        <v>924</v>
      </c>
      <c r="I13" s="1040" t="s">
        <v>107</v>
      </c>
      <c r="J13" s="1025" t="s">
        <v>980</v>
      </c>
      <c r="K13" s="1014" t="s">
        <v>936</v>
      </c>
      <c r="L13" s="1014" t="s">
        <v>107</v>
      </c>
      <c r="M13" s="1014" t="s">
        <v>164</v>
      </c>
      <c r="N13" s="1014" t="s">
        <v>138</v>
      </c>
      <c r="O13" s="1014" t="s">
        <v>922</v>
      </c>
      <c r="P13" s="1014" t="s">
        <v>923</v>
      </c>
      <c r="Q13" s="1045" t="s">
        <v>139</v>
      </c>
      <c r="R13" s="1046"/>
      <c r="S13" s="1047"/>
      <c r="T13" s="1014" t="s">
        <v>140</v>
      </c>
      <c r="U13" s="1014" t="s">
        <v>141</v>
      </c>
      <c r="V13" s="1025" t="s">
        <v>988</v>
      </c>
      <c r="W13" s="1025" t="s">
        <v>142</v>
      </c>
      <c r="X13" s="1025" t="s">
        <v>143</v>
      </c>
      <c r="Y13" s="1028"/>
      <c r="Z13" s="1048"/>
      <c r="AA13" s="1028"/>
      <c r="AB13" s="1012"/>
      <c r="AC13" s="1028"/>
      <c r="AD13" s="1022"/>
      <c r="AE13" s="1022"/>
      <c r="AF13" s="1022"/>
      <c r="AG13" s="386"/>
      <c r="AH13" s="317"/>
      <c r="AI13" s="317"/>
      <c r="AJ13" s="317"/>
      <c r="AK13" s="317"/>
      <c r="AL13" s="317"/>
      <c r="AM13" s="317"/>
      <c r="AN13" s="317"/>
      <c r="AO13" s="317"/>
      <c r="AP13" s="317"/>
      <c r="AQ13" s="317"/>
      <c r="AR13" s="317"/>
    </row>
    <row r="14" spans="1:44" s="120" customFormat="1" ht="21.75" customHeight="1">
      <c r="A14" s="1037"/>
      <c r="B14" s="1039"/>
      <c r="C14" s="1013"/>
      <c r="D14" s="1013"/>
      <c r="E14" s="1013"/>
      <c r="F14" s="1041"/>
      <c r="G14" s="1019"/>
      <c r="H14" s="1041"/>
      <c r="I14" s="1026"/>
      <c r="J14" s="1026"/>
      <c r="K14" s="1015"/>
      <c r="L14" s="1015"/>
      <c r="M14" s="1015"/>
      <c r="N14" s="1015"/>
      <c r="O14" s="1015"/>
      <c r="P14" s="1015"/>
      <c r="Q14" s="464" t="s">
        <v>274</v>
      </c>
      <c r="R14" s="464" t="s">
        <v>275</v>
      </c>
      <c r="S14" s="464" t="s">
        <v>276</v>
      </c>
      <c r="T14" s="1024"/>
      <c r="U14" s="1024"/>
      <c r="V14" s="1026"/>
      <c r="W14" s="1041"/>
      <c r="X14" s="1041"/>
      <c r="Y14" s="1029"/>
      <c r="Z14" s="1049"/>
      <c r="AA14" s="1029"/>
      <c r="AB14" s="1013"/>
      <c r="AC14" s="1029"/>
      <c r="AD14" s="1023"/>
      <c r="AE14" s="1023"/>
      <c r="AF14" s="1022"/>
      <c r="AG14" s="386"/>
      <c r="AH14" s="317"/>
      <c r="AI14" s="317"/>
      <c r="AJ14" s="317"/>
      <c r="AK14" s="317"/>
      <c r="AL14" s="317"/>
      <c r="AM14" s="317"/>
      <c r="AN14" s="317"/>
      <c r="AO14" s="317"/>
      <c r="AP14" s="317"/>
      <c r="AQ14" s="317"/>
      <c r="AR14" s="317"/>
    </row>
    <row r="15" spans="1:44" s="120" customFormat="1" ht="21.75" customHeight="1" hidden="1">
      <c r="A15" s="306" t="s">
        <v>780</v>
      </c>
      <c r="B15" s="307" t="s">
        <v>134</v>
      </c>
      <c r="C15" s="305" t="s">
        <v>277</v>
      </c>
      <c r="D15" s="305" t="s">
        <v>278</v>
      </c>
      <c r="E15" s="305" t="s">
        <v>779</v>
      </c>
      <c r="F15" s="259" t="s">
        <v>781</v>
      </c>
      <c r="G15" s="312" t="s">
        <v>782</v>
      </c>
      <c r="H15" s="312" t="s">
        <v>925</v>
      </c>
      <c r="I15" s="306" t="s">
        <v>785</v>
      </c>
      <c r="J15" s="306" t="s">
        <v>783</v>
      </c>
      <c r="K15" s="305" t="s">
        <v>784</v>
      </c>
      <c r="L15" s="305" t="s">
        <v>786</v>
      </c>
      <c r="M15" s="305" t="s">
        <v>787</v>
      </c>
      <c r="N15" s="305" t="s">
        <v>206</v>
      </c>
      <c r="O15" s="305" t="s">
        <v>266</v>
      </c>
      <c r="P15" s="305" t="s">
        <v>788</v>
      </c>
      <c r="Q15" s="259" t="s">
        <v>789</v>
      </c>
      <c r="R15" s="259" t="s">
        <v>790</v>
      </c>
      <c r="S15" s="259" t="s">
        <v>791</v>
      </c>
      <c r="T15" s="307" t="s">
        <v>792</v>
      </c>
      <c r="U15" s="307" t="s">
        <v>793</v>
      </c>
      <c r="V15" s="306" t="s">
        <v>794</v>
      </c>
      <c r="W15" s="259" t="s">
        <v>795</v>
      </c>
      <c r="X15" s="259" t="s">
        <v>796</v>
      </c>
      <c r="Y15" s="311" t="s">
        <v>170</v>
      </c>
      <c r="Z15" s="310" t="s">
        <v>797</v>
      </c>
      <c r="AA15" s="311" t="s">
        <v>798</v>
      </c>
      <c r="AB15" s="305" t="s">
        <v>136</v>
      </c>
      <c r="AC15" s="311" t="s">
        <v>799</v>
      </c>
      <c r="AD15" s="309" t="s">
        <v>801</v>
      </c>
      <c r="AE15" s="309" t="s">
        <v>926</v>
      </c>
      <c r="AF15" s="308" t="s">
        <v>802</v>
      </c>
      <c r="AG15" s="309" t="s">
        <v>800</v>
      </c>
      <c r="AH15" s="317" t="s">
        <v>803</v>
      </c>
      <c r="AI15" s="317" t="s">
        <v>804</v>
      </c>
      <c r="AJ15" s="317" t="s">
        <v>805</v>
      </c>
      <c r="AK15" s="317" t="s">
        <v>806</v>
      </c>
      <c r="AL15" s="317" t="s">
        <v>84</v>
      </c>
      <c r="AM15" s="317" t="s">
        <v>807</v>
      </c>
      <c r="AN15" s="317" t="s">
        <v>808</v>
      </c>
      <c r="AO15" s="317" t="s">
        <v>809</v>
      </c>
      <c r="AP15" t="s">
        <v>89</v>
      </c>
      <c r="AQ15" t="s">
        <v>726</v>
      </c>
      <c r="AR15" t="s">
        <v>358</v>
      </c>
    </row>
    <row r="16" spans="1:44" ht="15.75" customHeight="1">
      <c r="A16" s="36"/>
      <c r="B16" s="37"/>
      <c r="C16" s="37" t="s">
        <v>189</v>
      </c>
      <c r="D16" s="37"/>
      <c r="E16" s="37" t="s">
        <v>189</v>
      </c>
      <c r="F16" s="37"/>
      <c r="G16" s="252">
        <f aca="true" ca="1" t="shared" si="0" ref="G16:G49">IF(F16="","",IF(OR($E16="choisir…",$E16="Aucun"),"",INDEX(OFFSET(INDIRECT($E16),,1),MATCH($F16,INDIRECT($E16),0))))</f>
      </c>
      <c r="H16" s="373"/>
      <c r="I16" s="254"/>
      <c r="J16" s="37"/>
      <c r="K16" s="271"/>
      <c r="L16" s="254"/>
      <c r="M16" s="269"/>
      <c r="N16" s="375"/>
      <c r="O16" s="253">
        <f aca="true" ca="1" t="shared" si="1" ref="O16:O49">IF(L16="","",IF(OR(E16&lt;&gt;"Énergie",F16=""),0,INDEX(OFFSET(INDIRECT($E16),,2),MATCH($F16,INDIRECT($E16),0)))*L16/1000*IF(AND(E16="Énergie",F16&lt;&gt;""),IF(AND(INDEX(OFFSET(Énergie,,8,,),MATCH(F16,Énergie,0))=1,H16&lt;&gt;""),IF(H16=1,0,1-1.1676*H16),IF(AND(INDEX(OFFSET(Énergie,,8,,),MATCH(F16,Énergie,0))=2,H16&lt;&gt;""),1-H16,1)),1))</f>
      </c>
      <c r="P16" s="256">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8">
        <v>0</v>
      </c>
      <c r="R16" s="378">
        <v>0</v>
      </c>
      <c r="S16" s="378">
        <v>0</v>
      </c>
      <c r="T16" s="379"/>
      <c r="U16" s="378"/>
      <c r="V16" s="36" t="s">
        <v>189</v>
      </c>
      <c r="W16" s="71"/>
      <c r="X16" s="71"/>
      <c r="Y16" s="382"/>
      <c r="Z16" s="382"/>
      <c r="AA16" s="36" t="s">
        <v>189</v>
      </c>
      <c r="AB16" s="36"/>
      <c r="AC16" s="36" t="s">
        <v>189</v>
      </c>
      <c r="AD16" s="37"/>
      <c r="AE16" s="36" t="s">
        <v>928</v>
      </c>
      <c r="AF16" s="37"/>
      <c r="AG16" s="387" t="b">
        <f aca="true" ca="1" t="shared" si="3" ref="AG16:AG49">INDEX(OFFSET(Aide_dem,,1,,),MATCH(AE16,Aide_dem,0))</f>
        <v>0</v>
      </c>
      <c r="AH16" s="315">
        <f ca="1">IF(C16&lt;&gt;"Choisir…",INDEX(OFFSET(Volet,,-1,,),MATCH(C16,Volet,0)),"")</f>
      </c>
      <c r="AI16" s="360">
        <f ca="1">IF(D16&lt;&gt;"",INDEX(OFFSET(INDIRECT(C16),,-1,,),MATCH(D16,INDIRECT(C16),0)),"")</f>
      </c>
      <c r="AJ16" s="315">
        <f aca="true" ca="1" t="shared" si="4" ref="AJ16:AJ49">IF(E16&lt;&gt;"Choisir…",INDEX(OFFSET(Type_emission,,-1,,),MATCH(E16,Type_emission,0)),"")</f>
      </c>
      <c r="AK16" s="315">
        <f aca="true" ca="1" t="shared" si="5" ref="AK16:AK49">IF(F16="","",INDEX(OFFSET(IF(E16="Énergie",Énergie,IF(E16="Fugitive",PRP,"")),,-1,,),MATCH(F16,IF(E16="Énergie",Énergie,IF(E16="Fugitive",PRP,"")),0)))</f>
      </c>
      <c r="AL16" s="315">
        <f aca="true" ca="1" t="shared" si="6" ref="AL16:AL49">IF(AND(E16="Énergie",F16&lt;&gt;""),INDEX(OFFSET(Énergie,,22,,),MATCH(F16,Énergie,0)),0)*L16</f>
        <v>0</v>
      </c>
      <c r="AM16" s="315">
        <f aca="true" ca="1" t="shared" si="7" ref="AM16:AM49">IF(V16&lt;&gt;"Choisir…",INDEX(OFFSET(Fin_Autre,,-1,,),MATCH(V16,Fin_Autre,0)),"")</f>
      </c>
      <c r="AN16" s="315">
        <f aca="true" ca="1" t="shared" si="8" ref="AN16:AN49">IF(AA16&lt;&gt;"Choisir…",INDEX(OFFSET(Recom,,-1,,),MATCH(AA16,Recom,0)),"")</f>
      </c>
      <c r="AO16" s="315">
        <f aca="true" ca="1" t="shared" si="9" ref="AO16:AO49">IF(AC16&lt;&gt;"Choisir…",INDEX(OFFSET(Action,,-1,,),MATCH(AC16,Action,0)),"")</f>
      </c>
      <c r="AP16" s="315" t="e">
        <f>CHOOSE(AH16,FALSE,Data!DV$2,Data!DV$2,Data!DV$2,FALSE,FALSE,Data!DV$2)</f>
        <v>#VALUE!</v>
      </c>
      <c r="AQ16" s="315" t="e">
        <f>CHOOSE(AH16,"Affaires",IF(Data!DP$2="agricole","Agricole","Affaires"),IF(Data!DP$2="Agricole","Industriel",Data!DP$2),IF(Data!DP$2="Agricole","Industriel",Data!DP$2),IF(Data!DP$2="Agricole","Agricole","Affaires"),IF(Data!DP$2="Transport","Transport","Affaires"),IF(Data!DP$2="Agricole","Industriel",Data!DP$2))</f>
        <v>#VALUE!</v>
      </c>
      <c r="AR16" s="315">
        <f ca="1">IF(C16="Gestion","1151000",IF(AND(C16="Émissions_Fugitives",D16="Optimisation réfrigération"),"1151210",IF(AND(C16="Conversion",D16="Bioénergies"),"1151240",IF(AND(C16="Conversion",D16="Solaires"),"1151202",INDEX(OFFSET(Type_Entreprise,,2,,),MATCH('1. Demande'!AI$76,Type_Entreprise,0))))))</f>
        <v>0</v>
      </c>
    </row>
    <row r="17" spans="1:44" ht="15.75" customHeight="1">
      <c r="A17" s="36"/>
      <c r="B17" s="37"/>
      <c r="C17" s="37" t="s">
        <v>189</v>
      </c>
      <c r="D17" s="37"/>
      <c r="E17" s="37" t="s">
        <v>189</v>
      </c>
      <c r="F17" s="37"/>
      <c r="G17" s="252">
        <f ca="1" t="shared" si="0"/>
      </c>
      <c r="H17" s="373"/>
      <c r="I17" s="254"/>
      <c r="J17" s="37"/>
      <c r="K17" s="271"/>
      <c r="L17" s="254"/>
      <c r="M17" s="269"/>
      <c r="N17" s="375"/>
      <c r="O17" s="253">
        <f ca="1" t="shared" si="1"/>
      </c>
      <c r="P17" s="256">
        <f ca="1" t="shared" si="2"/>
      </c>
      <c r="Q17" s="378">
        <v>0</v>
      </c>
      <c r="R17" s="378">
        <v>0</v>
      </c>
      <c r="S17" s="378">
        <v>0</v>
      </c>
      <c r="T17" s="379"/>
      <c r="U17" s="378"/>
      <c r="V17" s="36" t="s">
        <v>189</v>
      </c>
      <c r="W17" s="71"/>
      <c r="X17" s="71"/>
      <c r="Y17" s="382"/>
      <c r="Z17" s="382"/>
      <c r="AA17" s="36" t="s">
        <v>189</v>
      </c>
      <c r="AB17" s="36"/>
      <c r="AC17" s="36" t="s">
        <v>189</v>
      </c>
      <c r="AD17" s="37"/>
      <c r="AE17" s="36" t="s">
        <v>928</v>
      </c>
      <c r="AF17" s="37"/>
      <c r="AG17" s="387" t="b">
        <f ca="1" t="shared" si="3"/>
        <v>0</v>
      </c>
      <c r="AH17" s="315">
        <f aca="true" ca="1" t="shared" si="10" ref="AH17:AH49">IF(C17&lt;&gt;"Choisir…",INDEX(OFFSET(Volet,,-1,,),MATCH(C17,Volet,0)),"")</f>
      </c>
      <c r="AI17" s="360">
        <f aca="true" ca="1" t="shared" si="11" ref="AI17:AI49">IF(D17&lt;&gt;"",INDEX(OFFSET(INDIRECT(C17),,-1,,),MATCH(D17,INDIRECT(C17),0)),"")</f>
      </c>
      <c r="AJ17" s="315">
        <f ca="1" t="shared" si="4"/>
      </c>
      <c r="AK17" s="315">
        <f ca="1" t="shared" si="5"/>
      </c>
      <c r="AL17" s="315">
        <f ca="1" t="shared" si="6"/>
        <v>0</v>
      </c>
      <c r="AM17" s="315">
        <f ca="1" t="shared" si="7"/>
      </c>
      <c r="AN17" s="315">
        <f ca="1" t="shared" si="8"/>
      </c>
      <c r="AO17" s="315">
        <f ca="1" t="shared" si="9"/>
      </c>
      <c r="AP17" s="315" t="e">
        <f>CHOOSE(AH17,FALSE,Data!DV$2,Data!DV$2,Data!DV$2,FALSE,FALSE,Data!DV$2)</f>
        <v>#VALUE!</v>
      </c>
      <c r="AQ17" s="315" t="e">
        <f>CHOOSE(AH17,"Affaires",IF(Data!DP$2="agricole","Agricole","Affaires"),IF(Data!DP$2="Agricole","Industriel",Data!DP$2),IF(Data!DP$2="Agricole","Industriel",Data!DP$2),IF(Data!DP$2="Agricole","Agricole","Affaires"),IF(Data!DP$2="Transport","Transport","Affaires"),IF(Data!DP$2="Agricole","Industriel",Data!DP$2))</f>
        <v>#VALUE!</v>
      </c>
      <c r="AR17" s="315">
        <f ca="1">IF(C17="Gestion","1151000",IF(AND(C17="Émissions_Fugitives",D17="Optimisation réfrigération"),"1151210",IF(AND(C17="Conversion",D17="Bioénergies"),"1151240",IF(AND(C17="Conversion",D17="Solaires"),"1151202",INDEX(OFFSET(Type_Entreprise,,2,,),MATCH('1. Demande'!AI$76,Type_Entreprise,0))))))</f>
        <v>0</v>
      </c>
    </row>
    <row r="18" spans="1:44" ht="15.75" customHeight="1">
      <c r="A18" s="36"/>
      <c r="B18" s="37"/>
      <c r="C18" s="37" t="s">
        <v>189</v>
      </c>
      <c r="D18" s="37"/>
      <c r="E18" s="37" t="s">
        <v>189</v>
      </c>
      <c r="F18" s="37"/>
      <c r="G18" s="252">
        <f ca="1" t="shared" si="0"/>
      </c>
      <c r="H18" s="373"/>
      <c r="I18" s="254"/>
      <c r="J18" s="37"/>
      <c r="K18" s="271"/>
      <c r="L18" s="254"/>
      <c r="M18" s="269"/>
      <c r="N18" s="375"/>
      <c r="O18" s="253">
        <f ca="1" t="shared" si="1"/>
      </c>
      <c r="P18" s="256">
        <f ca="1" t="shared" si="2"/>
      </c>
      <c r="Q18" s="378">
        <v>0</v>
      </c>
      <c r="R18" s="378">
        <v>0</v>
      </c>
      <c r="S18" s="378">
        <v>0</v>
      </c>
      <c r="T18" s="379"/>
      <c r="U18" s="378"/>
      <c r="V18" s="36" t="s">
        <v>189</v>
      </c>
      <c r="W18" s="71"/>
      <c r="X18" s="71"/>
      <c r="Y18" s="382"/>
      <c r="Z18" s="382"/>
      <c r="AA18" s="36" t="s">
        <v>189</v>
      </c>
      <c r="AB18" s="36"/>
      <c r="AC18" s="36" t="s">
        <v>189</v>
      </c>
      <c r="AD18" s="37"/>
      <c r="AE18" s="36" t="s">
        <v>928</v>
      </c>
      <c r="AF18" s="37"/>
      <c r="AG18" s="387" t="b">
        <f ca="1" t="shared" si="3"/>
        <v>0</v>
      </c>
      <c r="AH18" s="315">
        <f ca="1" t="shared" si="10"/>
      </c>
      <c r="AI18" s="360">
        <f ca="1" t="shared" si="11"/>
      </c>
      <c r="AJ18" s="315">
        <f ca="1" t="shared" si="4"/>
      </c>
      <c r="AK18" s="315">
        <f ca="1" t="shared" si="5"/>
      </c>
      <c r="AL18" s="315">
        <f ca="1" t="shared" si="6"/>
        <v>0</v>
      </c>
      <c r="AM18" s="315">
        <f ca="1" t="shared" si="7"/>
      </c>
      <c r="AN18" s="315">
        <f ca="1" t="shared" si="8"/>
      </c>
      <c r="AO18" s="315">
        <f ca="1" t="shared" si="9"/>
      </c>
      <c r="AP18" s="315" t="e">
        <f>CHOOSE(AH18,FALSE,Data!DV$2,Data!DV$2,Data!DV$2,FALSE,FALSE,Data!DV$2)</f>
        <v>#VALUE!</v>
      </c>
      <c r="AQ18" s="315" t="e">
        <f>CHOOSE(AH18,"Affaires",IF(Data!DP$2="agricole","Agricole","Affaires"),IF(Data!DP$2="Agricole","Industriel",Data!DP$2),IF(Data!DP$2="Agricole","Industriel",Data!DP$2),IF(Data!DP$2="Agricole","Agricole","Affaires"),IF(Data!DP$2="Transport","Transport","Affaires"),IF(Data!DP$2="Agricole","Industriel",Data!DP$2))</f>
        <v>#VALUE!</v>
      </c>
      <c r="AR18" s="315">
        <f ca="1">IF(C18="Gestion","1151000",IF(AND(C18="Émissions_Fugitives",D18="Optimisation réfrigération"),"1151210",IF(AND(C18="Conversion",D18="Bioénergies"),"1151240",IF(AND(C18="Conversion",D18="Solaires"),"1151202",INDEX(OFFSET(Type_Entreprise,,2,,),MATCH('1. Demande'!AI$76,Type_Entreprise,0))))))</f>
        <v>0</v>
      </c>
    </row>
    <row r="19" spans="1:44" ht="15.75" customHeight="1">
      <c r="A19" s="36"/>
      <c r="B19" s="37"/>
      <c r="C19" s="37" t="s">
        <v>189</v>
      </c>
      <c r="D19" s="37"/>
      <c r="E19" s="37" t="s">
        <v>189</v>
      </c>
      <c r="F19" s="37"/>
      <c r="G19" s="252">
        <f ca="1" t="shared" si="0"/>
      </c>
      <c r="H19" s="373"/>
      <c r="I19" s="254"/>
      <c r="J19" s="37"/>
      <c r="K19" s="271"/>
      <c r="L19" s="254"/>
      <c r="M19" s="269"/>
      <c r="N19" s="375"/>
      <c r="O19" s="253">
        <f ca="1" t="shared" si="1"/>
      </c>
      <c r="P19" s="256">
        <f ca="1" t="shared" si="2"/>
      </c>
      <c r="Q19" s="378">
        <v>0</v>
      </c>
      <c r="R19" s="378">
        <v>0</v>
      </c>
      <c r="S19" s="378">
        <v>0</v>
      </c>
      <c r="T19" s="379"/>
      <c r="U19" s="378"/>
      <c r="V19" s="36" t="s">
        <v>189</v>
      </c>
      <c r="W19" s="71"/>
      <c r="X19" s="71"/>
      <c r="Y19" s="382"/>
      <c r="Z19" s="382"/>
      <c r="AA19" s="36" t="s">
        <v>189</v>
      </c>
      <c r="AB19" s="36"/>
      <c r="AC19" s="36" t="s">
        <v>189</v>
      </c>
      <c r="AD19" s="37"/>
      <c r="AE19" s="36" t="s">
        <v>928</v>
      </c>
      <c r="AF19" s="37"/>
      <c r="AG19" s="387" t="b">
        <f ca="1" t="shared" si="3"/>
        <v>0</v>
      </c>
      <c r="AH19" s="315">
        <f ca="1" t="shared" si="10"/>
      </c>
      <c r="AI19" s="360">
        <f ca="1" t="shared" si="11"/>
      </c>
      <c r="AJ19" s="315">
        <f ca="1" t="shared" si="4"/>
      </c>
      <c r="AK19" s="315">
        <f ca="1" t="shared" si="5"/>
      </c>
      <c r="AL19" s="315">
        <f ca="1" t="shared" si="6"/>
        <v>0</v>
      </c>
      <c r="AM19" s="315">
        <f ca="1" t="shared" si="7"/>
      </c>
      <c r="AN19" s="315">
        <f ca="1" t="shared" si="8"/>
      </c>
      <c r="AO19" s="315">
        <f ca="1" t="shared" si="9"/>
      </c>
      <c r="AP19" s="315" t="e">
        <f>CHOOSE(AH19,FALSE,Data!DV$2,Data!DV$2,Data!DV$2,FALSE,FALSE,Data!DV$2)</f>
        <v>#VALUE!</v>
      </c>
      <c r="AQ19" s="315" t="e">
        <f>CHOOSE(AH19,"Affaires",IF(Data!DP$2="agricole","Agricole","Affaires"),IF(Data!DP$2="Agricole","Industriel",Data!DP$2),IF(Data!DP$2="Agricole","Industriel",Data!DP$2),IF(Data!DP$2="Agricole","Agricole","Affaires"),IF(Data!DP$2="Transport","Transport","Affaires"),IF(Data!DP$2="Agricole","Industriel",Data!DP$2))</f>
        <v>#VALUE!</v>
      </c>
      <c r="AR19" s="315">
        <f ca="1">IF(C19="Gestion","1151000",IF(AND(C19="Émissions_Fugitives",D19="Optimisation réfrigération"),"1151210",IF(AND(C19="Conversion",D19="Bioénergies"),"1151240",IF(AND(C19="Conversion",D19="Solaires"),"1151202",INDEX(OFFSET(Type_Entreprise,,2,,),MATCH('1. Demande'!AI$76,Type_Entreprise,0))))))</f>
        <v>0</v>
      </c>
    </row>
    <row r="20" spans="1:44" ht="15.75" customHeight="1">
      <c r="A20" s="36"/>
      <c r="B20" s="37"/>
      <c r="C20" s="37" t="s">
        <v>189</v>
      </c>
      <c r="D20" s="37"/>
      <c r="E20" s="37" t="s">
        <v>189</v>
      </c>
      <c r="F20" s="37"/>
      <c r="G20" s="252">
        <f ca="1" t="shared" si="0"/>
      </c>
      <c r="H20" s="373"/>
      <c r="I20" s="254"/>
      <c r="J20" s="37"/>
      <c r="K20" s="271"/>
      <c r="L20" s="254"/>
      <c r="M20" s="269"/>
      <c r="N20" s="375"/>
      <c r="O20" s="253">
        <f ca="1" t="shared" si="1"/>
      </c>
      <c r="P20" s="256">
        <f ca="1" t="shared" si="2"/>
      </c>
      <c r="Q20" s="378">
        <v>0</v>
      </c>
      <c r="R20" s="378">
        <v>0</v>
      </c>
      <c r="S20" s="378">
        <v>0</v>
      </c>
      <c r="T20" s="379"/>
      <c r="U20" s="378"/>
      <c r="V20" s="36" t="s">
        <v>189</v>
      </c>
      <c r="W20" s="71"/>
      <c r="X20" s="71"/>
      <c r="Y20" s="382"/>
      <c r="Z20" s="382"/>
      <c r="AA20" s="36" t="s">
        <v>189</v>
      </c>
      <c r="AB20" s="36"/>
      <c r="AC20" s="36" t="s">
        <v>189</v>
      </c>
      <c r="AD20" s="37"/>
      <c r="AE20" s="36" t="s">
        <v>928</v>
      </c>
      <c r="AF20" s="37"/>
      <c r="AG20" s="387" t="b">
        <f ca="1" t="shared" si="3"/>
        <v>0</v>
      </c>
      <c r="AH20" s="315">
        <f ca="1" t="shared" si="10"/>
      </c>
      <c r="AI20" s="360">
        <f ca="1" t="shared" si="11"/>
      </c>
      <c r="AJ20" s="315">
        <f ca="1" t="shared" si="4"/>
      </c>
      <c r="AK20" s="315">
        <f ca="1" t="shared" si="5"/>
      </c>
      <c r="AL20" s="315">
        <f ca="1" t="shared" si="6"/>
        <v>0</v>
      </c>
      <c r="AM20" s="315">
        <f ca="1" t="shared" si="7"/>
      </c>
      <c r="AN20" s="315">
        <f ca="1" t="shared" si="8"/>
      </c>
      <c r="AO20" s="315">
        <f ca="1" t="shared" si="9"/>
      </c>
      <c r="AP20" s="315" t="e">
        <f>CHOOSE(AH20,FALSE,Data!DV$2,Data!DV$2,Data!DV$2,FALSE,FALSE,Data!DV$2)</f>
        <v>#VALUE!</v>
      </c>
      <c r="AQ20" s="315" t="e">
        <f>CHOOSE(AH20,"Affaires",IF(Data!DP$2="agricole","Agricole","Affaires"),IF(Data!DP$2="Agricole","Industriel",Data!DP$2),IF(Data!DP$2="Agricole","Industriel",Data!DP$2),IF(Data!DP$2="Agricole","Agricole","Affaires"),IF(Data!DP$2="Transport","Transport","Affaires"),IF(Data!DP$2="Agricole","Industriel",Data!DP$2))</f>
        <v>#VALUE!</v>
      </c>
      <c r="AR20" s="315">
        <f ca="1">IF(C20="Gestion","1151000",IF(AND(C20="Émissions_Fugitives",D20="Optimisation réfrigération"),"1151210",IF(AND(C20="Conversion",D20="Bioénergies"),"1151240",IF(AND(C20="Conversion",D20="Solaires"),"1151202",INDEX(OFFSET(Type_Entreprise,,2,,),MATCH('1. Demande'!AI$76,Type_Entreprise,0))))))</f>
        <v>0</v>
      </c>
    </row>
    <row r="21" spans="1:44" ht="15.75" customHeight="1">
      <c r="A21" s="36"/>
      <c r="B21" s="37"/>
      <c r="C21" s="37" t="s">
        <v>189</v>
      </c>
      <c r="D21" s="37"/>
      <c r="E21" s="37" t="s">
        <v>189</v>
      </c>
      <c r="F21" s="37"/>
      <c r="G21" s="252">
        <f ca="1" t="shared" si="0"/>
      </c>
      <c r="H21" s="373"/>
      <c r="I21" s="254"/>
      <c r="J21" s="37"/>
      <c r="K21" s="271"/>
      <c r="L21" s="254"/>
      <c r="M21" s="269"/>
      <c r="N21" s="375"/>
      <c r="O21" s="253">
        <f ca="1" t="shared" si="1"/>
      </c>
      <c r="P21" s="256">
        <f ca="1" t="shared" si="2"/>
      </c>
      <c r="Q21" s="378">
        <v>0</v>
      </c>
      <c r="R21" s="378">
        <v>0</v>
      </c>
      <c r="S21" s="378">
        <v>0</v>
      </c>
      <c r="T21" s="379"/>
      <c r="U21" s="378"/>
      <c r="V21" s="36" t="s">
        <v>189</v>
      </c>
      <c r="W21" s="71"/>
      <c r="X21" s="71"/>
      <c r="Y21" s="382"/>
      <c r="Z21" s="382"/>
      <c r="AA21" s="36" t="s">
        <v>189</v>
      </c>
      <c r="AB21" s="36"/>
      <c r="AC21" s="36" t="s">
        <v>189</v>
      </c>
      <c r="AD21" s="37"/>
      <c r="AE21" s="36" t="s">
        <v>928</v>
      </c>
      <c r="AF21" s="37"/>
      <c r="AG21" s="387" t="b">
        <f ca="1" t="shared" si="3"/>
        <v>0</v>
      </c>
      <c r="AH21" s="315">
        <f ca="1" t="shared" si="10"/>
      </c>
      <c r="AI21" s="360">
        <f ca="1" t="shared" si="11"/>
      </c>
      <c r="AJ21" s="315">
        <f ca="1" t="shared" si="4"/>
      </c>
      <c r="AK21" s="315">
        <f ca="1" t="shared" si="5"/>
      </c>
      <c r="AL21" s="315">
        <f ca="1" t="shared" si="6"/>
        <v>0</v>
      </c>
      <c r="AM21" s="315">
        <f ca="1" t="shared" si="7"/>
      </c>
      <c r="AN21" s="315">
        <f ca="1" t="shared" si="8"/>
      </c>
      <c r="AO21" s="315">
        <f ca="1" t="shared" si="9"/>
      </c>
      <c r="AP21" s="315" t="e">
        <f>CHOOSE(AH21,FALSE,Data!DV$2,Data!DV$2,Data!DV$2,FALSE,FALSE,Data!DV$2)</f>
        <v>#VALUE!</v>
      </c>
      <c r="AQ21" s="315" t="e">
        <f>CHOOSE(AH21,"Affaires",IF(Data!DP$2="agricole","Agricole","Affaires"),IF(Data!DP$2="Agricole","Industriel",Data!DP$2),IF(Data!DP$2="Agricole","Industriel",Data!DP$2),IF(Data!DP$2="Agricole","Agricole","Affaires"),IF(Data!DP$2="Transport","Transport","Affaires"),IF(Data!DP$2="Agricole","Industriel",Data!DP$2))</f>
        <v>#VALUE!</v>
      </c>
      <c r="AR21" s="315">
        <f ca="1">IF(C21="Gestion","1151000",IF(AND(C21="Émissions_Fugitives",D21="Optimisation réfrigération"),"1151210",IF(AND(C21="Conversion",D21="Bioénergies"),"1151240",IF(AND(C21="Conversion",D21="Solaires"),"1151202",INDEX(OFFSET(Type_Entreprise,,2,,),MATCH('1. Demande'!AI$76,Type_Entreprise,0))))))</f>
        <v>0</v>
      </c>
    </row>
    <row r="22" spans="1:44" ht="15.75" customHeight="1">
      <c r="A22" s="36"/>
      <c r="B22" s="37"/>
      <c r="C22" s="37" t="s">
        <v>189</v>
      </c>
      <c r="D22" s="37"/>
      <c r="E22" s="37" t="s">
        <v>189</v>
      </c>
      <c r="F22" s="37"/>
      <c r="G22" s="252">
        <f ca="1" t="shared" si="0"/>
      </c>
      <c r="H22" s="373"/>
      <c r="I22" s="254"/>
      <c r="J22" s="37"/>
      <c r="K22" s="271"/>
      <c r="L22" s="254"/>
      <c r="M22" s="269"/>
      <c r="N22" s="375"/>
      <c r="O22" s="253">
        <f ca="1" t="shared" si="1"/>
      </c>
      <c r="P22" s="256">
        <f ca="1" t="shared" si="2"/>
      </c>
      <c r="Q22" s="378">
        <v>0</v>
      </c>
      <c r="R22" s="378">
        <v>0</v>
      </c>
      <c r="S22" s="378">
        <v>0</v>
      </c>
      <c r="T22" s="379"/>
      <c r="U22" s="378"/>
      <c r="V22" s="36" t="s">
        <v>189</v>
      </c>
      <c r="W22" s="71"/>
      <c r="X22" s="71"/>
      <c r="Y22" s="382"/>
      <c r="Z22" s="382"/>
      <c r="AA22" s="36" t="s">
        <v>189</v>
      </c>
      <c r="AB22" s="36"/>
      <c r="AC22" s="36" t="s">
        <v>189</v>
      </c>
      <c r="AD22" s="37"/>
      <c r="AE22" s="36" t="s">
        <v>928</v>
      </c>
      <c r="AF22" s="37"/>
      <c r="AG22" s="387" t="b">
        <f ca="1" t="shared" si="3"/>
        <v>0</v>
      </c>
      <c r="AH22" s="315">
        <f ca="1" t="shared" si="10"/>
      </c>
      <c r="AI22" s="360">
        <f ca="1" t="shared" si="11"/>
      </c>
      <c r="AJ22" s="315">
        <f ca="1" t="shared" si="4"/>
      </c>
      <c r="AK22" s="315">
        <f ca="1" t="shared" si="5"/>
      </c>
      <c r="AL22" s="315">
        <f ca="1" t="shared" si="6"/>
        <v>0</v>
      </c>
      <c r="AM22" s="315">
        <f ca="1" t="shared" si="7"/>
      </c>
      <c r="AN22" s="315">
        <f ca="1" t="shared" si="8"/>
      </c>
      <c r="AO22" s="315">
        <f ca="1" t="shared" si="9"/>
      </c>
      <c r="AP22" s="315" t="e">
        <f>CHOOSE(AH22,FALSE,Data!DV$2,Data!DV$2,Data!DV$2,FALSE,FALSE,Data!DV$2)</f>
        <v>#VALUE!</v>
      </c>
      <c r="AQ22" s="315" t="e">
        <f>CHOOSE(AH22,"Affaires",IF(Data!DP$2="agricole","Agricole","Affaires"),IF(Data!DP$2="Agricole","Industriel",Data!DP$2),IF(Data!DP$2="Agricole","Industriel",Data!DP$2),IF(Data!DP$2="Agricole","Agricole","Affaires"),IF(Data!DP$2="Transport","Transport","Affaires"),IF(Data!DP$2="Agricole","Industriel",Data!DP$2))</f>
        <v>#VALUE!</v>
      </c>
      <c r="AR22" s="315">
        <f ca="1">IF(C22="Gestion","1151000",IF(AND(C22="Émissions_Fugitives",D22="Optimisation réfrigération"),"1151210",IF(AND(C22="Conversion",D22="Bioénergies"),"1151240",IF(AND(C22="Conversion",D22="Solaires"),"1151202",INDEX(OFFSET(Type_Entreprise,,2,,),MATCH('1. Demande'!AI$76,Type_Entreprise,0))))))</f>
        <v>0</v>
      </c>
    </row>
    <row r="23" spans="1:44" ht="15.75" customHeight="1">
      <c r="A23" s="36"/>
      <c r="B23" s="37"/>
      <c r="C23" s="37" t="s">
        <v>189</v>
      </c>
      <c r="D23" s="37"/>
      <c r="E23" s="37" t="s">
        <v>189</v>
      </c>
      <c r="F23" s="37"/>
      <c r="G23" s="252">
        <f ca="1" t="shared" si="0"/>
      </c>
      <c r="H23" s="373"/>
      <c r="I23" s="254"/>
      <c r="J23" s="37"/>
      <c r="K23" s="271"/>
      <c r="L23" s="254"/>
      <c r="M23" s="269"/>
      <c r="N23" s="375"/>
      <c r="O23" s="253">
        <f ca="1" t="shared" si="1"/>
      </c>
      <c r="P23" s="256">
        <f ca="1" t="shared" si="2"/>
      </c>
      <c r="Q23" s="378">
        <v>0</v>
      </c>
      <c r="R23" s="378">
        <v>0</v>
      </c>
      <c r="S23" s="378">
        <v>0</v>
      </c>
      <c r="T23" s="379"/>
      <c r="U23" s="378"/>
      <c r="V23" s="36" t="s">
        <v>189</v>
      </c>
      <c r="W23" s="71"/>
      <c r="X23" s="71"/>
      <c r="Y23" s="382"/>
      <c r="Z23" s="382"/>
      <c r="AA23" s="36" t="s">
        <v>189</v>
      </c>
      <c r="AB23" s="36"/>
      <c r="AC23" s="36" t="s">
        <v>189</v>
      </c>
      <c r="AD23" s="37"/>
      <c r="AE23" s="36" t="s">
        <v>928</v>
      </c>
      <c r="AF23" s="37"/>
      <c r="AG23" s="387" t="b">
        <f ca="1" t="shared" si="3"/>
        <v>0</v>
      </c>
      <c r="AH23" s="315">
        <f ca="1" t="shared" si="10"/>
      </c>
      <c r="AI23" s="360">
        <f ca="1" t="shared" si="11"/>
      </c>
      <c r="AJ23" s="315">
        <f ca="1" t="shared" si="4"/>
      </c>
      <c r="AK23" s="315">
        <f ca="1" t="shared" si="5"/>
      </c>
      <c r="AL23" s="315">
        <f ca="1" t="shared" si="6"/>
        <v>0</v>
      </c>
      <c r="AM23" s="315">
        <f ca="1" t="shared" si="7"/>
      </c>
      <c r="AN23" s="315">
        <f ca="1" t="shared" si="8"/>
      </c>
      <c r="AO23" s="315">
        <f ca="1" t="shared" si="9"/>
      </c>
      <c r="AP23" s="315" t="e">
        <f>CHOOSE(AH23,FALSE,Data!DV$2,Data!DV$2,Data!DV$2,FALSE,FALSE,Data!DV$2)</f>
        <v>#VALUE!</v>
      </c>
      <c r="AQ23" s="315" t="e">
        <f>CHOOSE(AH23,"Affaires",IF(Data!DP$2="agricole","Agricole","Affaires"),IF(Data!DP$2="Agricole","Industriel",Data!DP$2),IF(Data!DP$2="Agricole","Industriel",Data!DP$2),IF(Data!DP$2="Agricole","Agricole","Affaires"),IF(Data!DP$2="Transport","Transport","Affaires"),IF(Data!DP$2="Agricole","Industriel",Data!DP$2))</f>
        <v>#VALUE!</v>
      </c>
      <c r="AR23" s="315">
        <f ca="1">IF(C23="Gestion","1151000",IF(AND(C23="Émissions_Fugitives",D23="Optimisation réfrigération"),"1151210",IF(AND(C23="Conversion",D23="Bioénergies"),"1151240",IF(AND(C23="Conversion",D23="Solaires"),"1151202",INDEX(OFFSET(Type_Entreprise,,2,,),MATCH('1. Demande'!AI$76,Type_Entreprise,0))))))</f>
        <v>0</v>
      </c>
    </row>
    <row r="24" spans="1:44" ht="15.75" customHeight="1">
      <c r="A24" s="36"/>
      <c r="B24" s="37"/>
      <c r="C24" s="37" t="s">
        <v>189</v>
      </c>
      <c r="D24" s="37"/>
      <c r="E24" s="37" t="s">
        <v>189</v>
      </c>
      <c r="F24" s="37"/>
      <c r="G24" s="252">
        <f ca="1" t="shared" si="0"/>
      </c>
      <c r="H24" s="373"/>
      <c r="I24" s="254"/>
      <c r="J24" s="37"/>
      <c r="K24" s="271"/>
      <c r="L24" s="254"/>
      <c r="M24" s="269"/>
      <c r="N24" s="375"/>
      <c r="O24" s="253">
        <f ca="1" t="shared" si="1"/>
      </c>
      <c r="P24" s="256">
        <f ca="1" t="shared" si="2"/>
      </c>
      <c r="Q24" s="378">
        <v>0</v>
      </c>
      <c r="R24" s="378">
        <v>0</v>
      </c>
      <c r="S24" s="378">
        <v>0</v>
      </c>
      <c r="T24" s="379"/>
      <c r="U24" s="378"/>
      <c r="V24" s="36" t="s">
        <v>189</v>
      </c>
      <c r="W24" s="71"/>
      <c r="X24" s="71"/>
      <c r="Y24" s="382"/>
      <c r="Z24" s="382"/>
      <c r="AA24" s="36" t="s">
        <v>189</v>
      </c>
      <c r="AB24" s="36"/>
      <c r="AC24" s="36" t="s">
        <v>189</v>
      </c>
      <c r="AD24" s="37"/>
      <c r="AE24" s="36" t="s">
        <v>928</v>
      </c>
      <c r="AF24" s="37"/>
      <c r="AG24" s="387" t="b">
        <f ca="1" t="shared" si="3"/>
        <v>0</v>
      </c>
      <c r="AH24" s="315">
        <f ca="1" t="shared" si="10"/>
      </c>
      <c r="AI24" s="360">
        <f ca="1" t="shared" si="11"/>
      </c>
      <c r="AJ24" s="315">
        <f ca="1" t="shared" si="4"/>
      </c>
      <c r="AK24" s="315">
        <f ca="1" t="shared" si="5"/>
      </c>
      <c r="AL24" s="315">
        <f ca="1" t="shared" si="6"/>
        <v>0</v>
      </c>
      <c r="AM24" s="315">
        <f ca="1" t="shared" si="7"/>
      </c>
      <c r="AN24" s="315">
        <f ca="1" t="shared" si="8"/>
      </c>
      <c r="AO24" s="315">
        <f ca="1" t="shared" si="9"/>
      </c>
      <c r="AP24" s="315" t="e">
        <f>CHOOSE(AH24,FALSE,Data!DV$2,Data!DV$2,Data!DV$2,FALSE,FALSE,Data!DV$2)</f>
        <v>#VALUE!</v>
      </c>
      <c r="AQ24" s="315" t="e">
        <f>CHOOSE(AH24,"Affaires",IF(Data!DP$2="agricole","Agricole","Affaires"),IF(Data!DP$2="Agricole","Industriel",Data!DP$2),IF(Data!DP$2="Agricole","Industriel",Data!DP$2),IF(Data!DP$2="Agricole","Agricole","Affaires"),IF(Data!DP$2="Transport","Transport","Affaires"),IF(Data!DP$2="Agricole","Industriel",Data!DP$2))</f>
        <v>#VALUE!</v>
      </c>
      <c r="AR24" s="315">
        <f ca="1">IF(C24="Gestion","1151000",IF(AND(C24="Émissions_Fugitives",D24="Optimisation réfrigération"),"1151210",IF(AND(C24="Conversion",D24="Bioénergies"),"1151240",IF(AND(C24="Conversion",D24="Solaires"),"1151202",INDEX(OFFSET(Type_Entreprise,,2,,),MATCH('1. Demande'!AI$76,Type_Entreprise,0))))))</f>
        <v>0</v>
      </c>
    </row>
    <row r="25" spans="1:44" ht="15.75" customHeight="1">
      <c r="A25" s="36"/>
      <c r="B25" s="37"/>
      <c r="C25" s="37" t="s">
        <v>189</v>
      </c>
      <c r="D25" s="37"/>
      <c r="E25" s="37" t="s">
        <v>189</v>
      </c>
      <c r="F25" s="37"/>
      <c r="G25" s="252">
        <f ca="1" t="shared" si="0"/>
      </c>
      <c r="H25" s="373"/>
      <c r="I25" s="254"/>
      <c r="J25" s="37"/>
      <c r="K25" s="271"/>
      <c r="L25" s="254"/>
      <c r="M25" s="269"/>
      <c r="N25" s="375"/>
      <c r="O25" s="253">
        <f ca="1" t="shared" si="1"/>
      </c>
      <c r="P25" s="256">
        <f ca="1" t="shared" si="2"/>
      </c>
      <c r="Q25" s="378">
        <v>0</v>
      </c>
      <c r="R25" s="378">
        <v>0</v>
      </c>
      <c r="S25" s="378">
        <v>0</v>
      </c>
      <c r="T25" s="379"/>
      <c r="U25" s="378"/>
      <c r="V25" s="36" t="s">
        <v>189</v>
      </c>
      <c r="W25" s="71"/>
      <c r="X25" s="71"/>
      <c r="Y25" s="382"/>
      <c r="Z25" s="382"/>
      <c r="AA25" s="36" t="s">
        <v>189</v>
      </c>
      <c r="AB25" s="36"/>
      <c r="AC25" s="36" t="s">
        <v>189</v>
      </c>
      <c r="AD25" s="37"/>
      <c r="AE25" s="36" t="s">
        <v>928</v>
      </c>
      <c r="AF25" s="37"/>
      <c r="AG25" s="387" t="b">
        <f ca="1" t="shared" si="3"/>
        <v>0</v>
      </c>
      <c r="AH25" s="315">
        <f ca="1" t="shared" si="10"/>
      </c>
      <c r="AI25" s="360">
        <f ca="1" t="shared" si="11"/>
      </c>
      <c r="AJ25" s="315">
        <f ca="1" t="shared" si="4"/>
      </c>
      <c r="AK25" s="315">
        <f ca="1" t="shared" si="5"/>
      </c>
      <c r="AL25" s="315">
        <f ca="1" t="shared" si="6"/>
        <v>0</v>
      </c>
      <c r="AM25" s="315">
        <f ca="1" t="shared" si="7"/>
      </c>
      <c r="AN25" s="315">
        <f ca="1" t="shared" si="8"/>
      </c>
      <c r="AO25" s="315">
        <f ca="1" t="shared" si="9"/>
      </c>
      <c r="AP25" s="315" t="e">
        <f>CHOOSE(AH25,FALSE,Data!DV$2,Data!DV$2,Data!DV$2,FALSE,FALSE,Data!DV$2)</f>
        <v>#VALUE!</v>
      </c>
      <c r="AQ25" s="315" t="e">
        <f>CHOOSE(AH25,"Affaires",IF(Data!DP$2="agricole","Agricole","Affaires"),IF(Data!DP$2="Agricole","Industriel",Data!DP$2),IF(Data!DP$2="Agricole","Industriel",Data!DP$2),IF(Data!DP$2="Agricole","Agricole","Affaires"),IF(Data!DP$2="Transport","Transport","Affaires"),IF(Data!DP$2="Agricole","Industriel",Data!DP$2))</f>
        <v>#VALUE!</v>
      </c>
      <c r="AR25" s="315">
        <f ca="1">IF(C25="Gestion","1151000",IF(AND(C25="Émissions_Fugitives",D25="Optimisation réfrigération"),"1151210",IF(AND(C25="Conversion",D25="Bioénergies"),"1151240",IF(AND(C25="Conversion",D25="Solaires"),"1151202",INDEX(OFFSET(Type_Entreprise,,2,,),MATCH('1. Demande'!AI$76,Type_Entreprise,0))))))</f>
        <v>0</v>
      </c>
    </row>
    <row r="26" spans="1:44" ht="15.75" customHeight="1">
      <c r="A26" s="36"/>
      <c r="B26" s="37"/>
      <c r="C26" s="37" t="s">
        <v>189</v>
      </c>
      <c r="D26" s="37"/>
      <c r="E26" s="37" t="s">
        <v>189</v>
      </c>
      <c r="F26" s="37"/>
      <c r="G26" s="252">
        <f ca="1" t="shared" si="0"/>
      </c>
      <c r="H26" s="373"/>
      <c r="I26" s="254"/>
      <c r="J26" s="37"/>
      <c r="K26" s="271"/>
      <c r="L26" s="254"/>
      <c r="M26" s="269"/>
      <c r="N26" s="375"/>
      <c r="O26" s="253">
        <f ca="1" t="shared" si="1"/>
      </c>
      <c r="P26" s="256">
        <f ca="1" t="shared" si="2"/>
      </c>
      <c r="Q26" s="378">
        <v>0</v>
      </c>
      <c r="R26" s="378">
        <v>0</v>
      </c>
      <c r="S26" s="378">
        <v>0</v>
      </c>
      <c r="T26" s="379"/>
      <c r="U26" s="378"/>
      <c r="V26" s="36" t="s">
        <v>189</v>
      </c>
      <c r="W26" s="71"/>
      <c r="X26" s="71"/>
      <c r="Y26" s="382"/>
      <c r="Z26" s="382"/>
      <c r="AA26" s="36" t="s">
        <v>189</v>
      </c>
      <c r="AB26" s="36"/>
      <c r="AC26" s="36" t="s">
        <v>189</v>
      </c>
      <c r="AD26" s="37"/>
      <c r="AE26" s="36" t="s">
        <v>928</v>
      </c>
      <c r="AF26" s="37"/>
      <c r="AG26" s="387" t="b">
        <f ca="1" t="shared" si="3"/>
        <v>0</v>
      </c>
      <c r="AH26" s="315">
        <f ca="1" t="shared" si="10"/>
      </c>
      <c r="AI26" s="360">
        <f ca="1" t="shared" si="11"/>
      </c>
      <c r="AJ26" s="315">
        <f ca="1" t="shared" si="4"/>
      </c>
      <c r="AK26" s="315">
        <f ca="1" t="shared" si="5"/>
      </c>
      <c r="AL26" s="315">
        <f ca="1" t="shared" si="6"/>
        <v>0</v>
      </c>
      <c r="AM26" s="315">
        <f ca="1" t="shared" si="7"/>
      </c>
      <c r="AN26" s="315">
        <f ca="1" t="shared" si="8"/>
      </c>
      <c r="AO26" s="315">
        <f ca="1" t="shared" si="9"/>
      </c>
      <c r="AP26" s="315" t="e">
        <f>CHOOSE(AH26,FALSE,Data!DV$2,Data!DV$2,Data!DV$2,FALSE,FALSE,Data!DV$2)</f>
        <v>#VALUE!</v>
      </c>
      <c r="AQ26" s="315" t="e">
        <f>CHOOSE(AH26,"Affaires",IF(Data!DP$2="agricole","Agricole","Affaires"),IF(Data!DP$2="Agricole","Industriel",Data!DP$2),IF(Data!DP$2="Agricole","Industriel",Data!DP$2),IF(Data!DP$2="Agricole","Agricole","Affaires"),IF(Data!DP$2="Transport","Transport","Affaires"),IF(Data!DP$2="Agricole","Industriel",Data!DP$2))</f>
        <v>#VALUE!</v>
      </c>
      <c r="AR26" s="315">
        <f ca="1">IF(C26="Gestion","1151000",IF(AND(C26="Émissions_Fugitives",D26="Optimisation réfrigération"),"1151210",IF(AND(C26="Conversion",D26="Bioénergies"),"1151240",IF(AND(C26="Conversion",D26="Solaires"),"1151202",INDEX(OFFSET(Type_Entreprise,,2,,),MATCH('1. Demande'!AI$76,Type_Entreprise,0))))))</f>
        <v>0</v>
      </c>
    </row>
    <row r="27" spans="1:44" ht="15.75" customHeight="1">
      <c r="A27" s="36"/>
      <c r="B27" s="37"/>
      <c r="C27" s="37" t="s">
        <v>189</v>
      </c>
      <c r="D27" s="37"/>
      <c r="E27" s="37" t="s">
        <v>189</v>
      </c>
      <c r="F27" s="37"/>
      <c r="G27" s="252">
        <f ca="1" t="shared" si="0"/>
      </c>
      <c r="H27" s="373"/>
      <c r="I27" s="254"/>
      <c r="J27" s="37"/>
      <c r="K27" s="271"/>
      <c r="L27" s="254"/>
      <c r="M27" s="269"/>
      <c r="N27" s="375"/>
      <c r="O27" s="253">
        <f ca="1" t="shared" si="1"/>
      </c>
      <c r="P27" s="256">
        <f ca="1" t="shared" si="2"/>
      </c>
      <c r="Q27" s="378">
        <v>0</v>
      </c>
      <c r="R27" s="378">
        <v>0</v>
      </c>
      <c r="S27" s="378">
        <v>0</v>
      </c>
      <c r="T27" s="379"/>
      <c r="U27" s="378"/>
      <c r="V27" s="36" t="s">
        <v>189</v>
      </c>
      <c r="W27" s="71"/>
      <c r="X27" s="71"/>
      <c r="Y27" s="382"/>
      <c r="Z27" s="382"/>
      <c r="AA27" s="36" t="s">
        <v>189</v>
      </c>
      <c r="AB27" s="36"/>
      <c r="AC27" s="36" t="s">
        <v>189</v>
      </c>
      <c r="AD27" s="37"/>
      <c r="AE27" s="36" t="s">
        <v>928</v>
      </c>
      <c r="AF27" s="37"/>
      <c r="AG27" s="387" t="b">
        <f ca="1" t="shared" si="3"/>
        <v>0</v>
      </c>
      <c r="AH27" s="315">
        <f ca="1" t="shared" si="10"/>
      </c>
      <c r="AI27" s="360">
        <f ca="1" t="shared" si="11"/>
      </c>
      <c r="AJ27" s="315">
        <f ca="1" t="shared" si="4"/>
      </c>
      <c r="AK27" s="315">
        <f ca="1" t="shared" si="5"/>
      </c>
      <c r="AL27" s="315">
        <f ca="1" t="shared" si="6"/>
        <v>0</v>
      </c>
      <c r="AM27" s="315">
        <f ca="1" t="shared" si="7"/>
      </c>
      <c r="AN27" s="315">
        <f ca="1" t="shared" si="8"/>
      </c>
      <c r="AO27" s="315">
        <f ca="1" t="shared" si="9"/>
      </c>
      <c r="AP27" s="315" t="e">
        <f>CHOOSE(AH27,FALSE,Data!DV$2,Data!DV$2,Data!DV$2,FALSE,FALSE,Data!DV$2)</f>
        <v>#VALUE!</v>
      </c>
      <c r="AQ27" s="315" t="e">
        <f>CHOOSE(AH27,"Affaires",IF(Data!DP$2="agricole","Agricole","Affaires"),IF(Data!DP$2="Agricole","Industriel",Data!DP$2),IF(Data!DP$2="Agricole","Industriel",Data!DP$2),IF(Data!DP$2="Agricole","Agricole","Affaires"),IF(Data!DP$2="Transport","Transport","Affaires"),IF(Data!DP$2="Agricole","Industriel",Data!DP$2))</f>
        <v>#VALUE!</v>
      </c>
      <c r="AR27" s="315">
        <f ca="1">IF(C27="Gestion","1151000",IF(AND(C27="Émissions_Fugitives",D27="Optimisation réfrigération"),"1151210",IF(AND(C27="Conversion",D27="Bioénergies"),"1151240",IF(AND(C27="Conversion",D27="Solaires"),"1151202",INDEX(OFFSET(Type_Entreprise,,2,,),MATCH('1. Demande'!AI$76,Type_Entreprise,0))))))</f>
        <v>0</v>
      </c>
    </row>
    <row r="28" spans="1:44" ht="15.75" customHeight="1">
      <c r="A28" s="36"/>
      <c r="B28" s="37"/>
      <c r="C28" s="37" t="s">
        <v>189</v>
      </c>
      <c r="D28" s="37"/>
      <c r="E28" s="37" t="s">
        <v>189</v>
      </c>
      <c r="F28" s="37"/>
      <c r="G28" s="252">
        <f ca="1" t="shared" si="0"/>
      </c>
      <c r="H28" s="373"/>
      <c r="I28" s="254"/>
      <c r="J28" s="37"/>
      <c r="K28" s="271"/>
      <c r="L28" s="254"/>
      <c r="M28" s="269"/>
      <c r="N28" s="375"/>
      <c r="O28" s="253">
        <f ca="1" t="shared" si="1"/>
      </c>
      <c r="P28" s="256">
        <f ca="1" t="shared" si="2"/>
      </c>
      <c r="Q28" s="378">
        <v>0</v>
      </c>
      <c r="R28" s="378">
        <v>0</v>
      </c>
      <c r="S28" s="378">
        <v>0</v>
      </c>
      <c r="T28" s="379"/>
      <c r="U28" s="378"/>
      <c r="V28" s="36" t="s">
        <v>189</v>
      </c>
      <c r="W28" s="71"/>
      <c r="X28" s="71"/>
      <c r="Y28" s="382"/>
      <c r="Z28" s="382"/>
      <c r="AA28" s="36" t="s">
        <v>189</v>
      </c>
      <c r="AB28" s="36"/>
      <c r="AC28" s="36" t="s">
        <v>189</v>
      </c>
      <c r="AD28" s="37"/>
      <c r="AE28" s="36" t="s">
        <v>928</v>
      </c>
      <c r="AF28" s="37"/>
      <c r="AG28" s="387" t="b">
        <f ca="1" t="shared" si="3"/>
        <v>0</v>
      </c>
      <c r="AH28" s="315">
        <f ca="1" t="shared" si="10"/>
      </c>
      <c r="AI28" s="360">
        <f ca="1" t="shared" si="11"/>
      </c>
      <c r="AJ28" s="315">
        <f ca="1" t="shared" si="4"/>
      </c>
      <c r="AK28" s="315">
        <f ca="1" t="shared" si="5"/>
      </c>
      <c r="AL28" s="315">
        <f ca="1" t="shared" si="6"/>
        <v>0</v>
      </c>
      <c r="AM28" s="315">
        <f ca="1" t="shared" si="7"/>
      </c>
      <c r="AN28" s="315">
        <f ca="1" t="shared" si="8"/>
      </c>
      <c r="AO28" s="315">
        <f ca="1" t="shared" si="9"/>
      </c>
      <c r="AP28" s="315" t="e">
        <f>CHOOSE(AH28,FALSE,Data!DV$2,Data!DV$2,Data!DV$2,FALSE,FALSE,Data!DV$2)</f>
        <v>#VALUE!</v>
      </c>
      <c r="AQ28" s="315" t="e">
        <f>CHOOSE(AH28,"Affaires",IF(Data!DP$2="agricole","Agricole","Affaires"),IF(Data!DP$2="Agricole","Industriel",Data!DP$2),IF(Data!DP$2="Agricole","Industriel",Data!DP$2),IF(Data!DP$2="Agricole","Agricole","Affaires"),IF(Data!DP$2="Transport","Transport","Affaires"),IF(Data!DP$2="Agricole","Industriel",Data!DP$2))</f>
        <v>#VALUE!</v>
      </c>
      <c r="AR28" s="315">
        <f ca="1">IF(C28="Gestion","1151000",IF(AND(C28="Émissions_Fugitives",D28="Optimisation réfrigération"),"1151210",IF(AND(C28="Conversion",D28="Bioénergies"),"1151240",IF(AND(C28="Conversion",D28="Solaires"),"1151202",INDEX(OFFSET(Type_Entreprise,,2,,),MATCH('1. Demande'!AI$76,Type_Entreprise,0))))))</f>
        <v>0</v>
      </c>
    </row>
    <row r="29" spans="1:44" ht="15.75" customHeight="1">
      <c r="A29" s="36"/>
      <c r="B29" s="37"/>
      <c r="C29" s="37" t="s">
        <v>189</v>
      </c>
      <c r="D29" s="37"/>
      <c r="E29" s="37" t="s">
        <v>189</v>
      </c>
      <c r="F29" s="37"/>
      <c r="G29" s="252">
        <f ca="1" t="shared" si="0"/>
      </c>
      <c r="H29" s="373"/>
      <c r="I29" s="254"/>
      <c r="J29" s="37"/>
      <c r="K29" s="271"/>
      <c r="L29" s="254"/>
      <c r="M29" s="269"/>
      <c r="N29" s="375"/>
      <c r="O29" s="253">
        <f ca="1" t="shared" si="1"/>
      </c>
      <c r="P29" s="256">
        <f ca="1" t="shared" si="2"/>
      </c>
      <c r="Q29" s="378">
        <v>0</v>
      </c>
      <c r="R29" s="378">
        <v>0</v>
      </c>
      <c r="S29" s="378">
        <v>0</v>
      </c>
      <c r="T29" s="379"/>
      <c r="U29" s="378"/>
      <c r="V29" s="36" t="s">
        <v>189</v>
      </c>
      <c r="W29" s="71"/>
      <c r="X29" s="71"/>
      <c r="Y29" s="382"/>
      <c r="Z29" s="382"/>
      <c r="AA29" s="36" t="s">
        <v>189</v>
      </c>
      <c r="AB29" s="36"/>
      <c r="AC29" s="36" t="s">
        <v>189</v>
      </c>
      <c r="AD29" s="37"/>
      <c r="AE29" s="36" t="s">
        <v>928</v>
      </c>
      <c r="AF29" s="37"/>
      <c r="AG29" s="387" t="b">
        <f ca="1" t="shared" si="3"/>
        <v>0</v>
      </c>
      <c r="AH29" s="315">
        <f ca="1" t="shared" si="10"/>
      </c>
      <c r="AI29" s="360">
        <f ca="1" t="shared" si="11"/>
      </c>
      <c r="AJ29" s="315">
        <f ca="1" t="shared" si="4"/>
      </c>
      <c r="AK29" s="315">
        <f ca="1" t="shared" si="5"/>
      </c>
      <c r="AL29" s="315">
        <f ca="1" t="shared" si="6"/>
        <v>0</v>
      </c>
      <c r="AM29" s="315">
        <f ca="1" t="shared" si="7"/>
      </c>
      <c r="AN29" s="315">
        <f ca="1" t="shared" si="8"/>
      </c>
      <c r="AO29" s="315">
        <f ca="1" t="shared" si="9"/>
      </c>
      <c r="AP29" s="315" t="e">
        <f>CHOOSE(AH29,FALSE,Data!DV$2,Data!DV$2,Data!DV$2,FALSE,FALSE,Data!DV$2)</f>
        <v>#VALUE!</v>
      </c>
      <c r="AQ29" s="315" t="e">
        <f>CHOOSE(AH29,"Affaires",IF(Data!DP$2="agricole","Agricole","Affaires"),IF(Data!DP$2="Agricole","Industriel",Data!DP$2),IF(Data!DP$2="Agricole","Industriel",Data!DP$2),IF(Data!DP$2="Agricole","Agricole","Affaires"),IF(Data!DP$2="Transport","Transport","Affaires"),IF(Data!DP$2="Agricole","Industriel",Data!DP$2))</f>
        <v>#VALUE!</v>
      </c>
      <c r="AR29" s="315">
        <f ca="1">IF(C29="Gestion","1151000",IF(AND(C29="Émissions_Fugitives",D29="Optimisation réfrigération"),"1151210",IF(AND(C29="Conversion",D29="Bioénergies"),"1151240",IF(AND(C29="Conversion",D29="Solaires"),"1151202",INDEX(OFFSET(Type_Entreprise,,2,,),MATCH('1. Demande'!AI$76,Type_Entreprise,0))))))</f>
        <v>0</v>
      </c>
    </row>
    <row r="30" spans="1:44" ht="15.75" customHeight="1">
      <c r="A30" s="36"/>
      <c r="B30" s="37"/>
      <c r="C30" s="37" t="s">
        <v>189</v>
      </c>
      <c r="D30" s="37"/>
      <c r="E30" s="37" t="s">
        <v>189</v>
      </c>
      <c r="F30" s="37"/>
      <c r="G30" s="252">
        <f ca="1" t="shared" si="0"/>
      </c>
      <c r="H30" s="373"/>
      <c r="I30" s="254"/>
      <c r="J30" s="37"/>
      <c r="K30" s="271"/>
      <c r="L30" s="254"/>
      <c r="M30" s="269"/>
      <c r="N30" s="375"/>
      <c r="O30" s="253">
        <f ca="1" t="shared" si="1"/>
      </c>
      <c r="P30" s="256">
        <f ca="1" t="shared" si="2"/>
      </c>
      <c r="Q30" s="378">
        <v>0</v>
      </c>
      <c r="R30" s="378">
        <v>0</v>
      </c>
      <c r="S30" s="378">
        <v>0</v>
      </c>
      <c r="T30" s="379"/>
      <c r="U30" s="378"/>
      <c r="V30" s="36" t="s">
        <v>189</v>
      </c>
      <c r="W30" s="71"/>
      <c r="X30" s="71"/>
      <c r="Y30" s="382"/>
      <c r="Z30" s="382"/>
      <c r="AA30" s="36" t="s">
        <v>189</v>
      </c>
      <c r="AB30" s="36"/>
      <c r="AC30" s="36" t="s">
        <v>189</v>
      </c>
      <c r="AD30" s="37"/>
      <c r="AE30" s="36" t="s">
        <v>928</v>
      </c>
      <c r="AF30" s="37"/>
      <c r="AG30" s="387" t="b">
        <f ca="1" t="shared" si="3"/>
        <v>0</v>
      </c>
      <c r="AH30" s="315">
        <f ca="1" t="shared" si="10"/>
      </c>
      <c r="AI30" s="360">
        <f ca="1" t="shared" si="11"/>
      </c>
      <c r="AJ30" s="315">
        <f ca="1" t="shared" si="4"/>
      </c>
      <c r="AK30" s="315">
        <f ca="1" t="shared" si="5"/>
      </c>
      <c r="AL30" s="315">
        <f ca="1" t="shared" si="6"/>
        <v>0</v>
      </c>
      <c r="AM30" s="315">
        <f ca="1" t="shared" si="7"/>
      </c>
      <c r="AN30" s="315">
        <f ca="1" t="shared" si="8"/>
      </c>
      <c r="AO30" s="315">
        <f ca="1" t="shared" si="9"/>
      </c>
      <c r="AP30" s="315" t="e">
        <f>CHOOSE(AH30,FALSE,Data!DV$2,Data!DV$2,Data!DV$2,FALSE,FALSE,Data!DV$2)</f>
        <v>#VALUE!</v>
      </c>
      <c r="AQ30" s="315" t="e">
        <f>CHOOSE(AH30,"Affaires",IF(Data!DP$2="agricole","Agricole","Affaires"),IF(Data!DP$2="Agricole","Industriel",Data!DP$2),IF(Data!DP$2="Agricole","Industriel",Data!DP$2),IF(Data!DP$2="Agricole","Agricole","Affaires"),IF(Data!DP$2="Transport","Transport","Affaires"),IF(Data!DP$2="Agricole","Industriel",Data!DP$2))</f>
        <v>#VALUE!</v>
      </c>
      <c r="AR30" s="315">
        <f ca="1">IF(C30="Gestion","1151000",IF(AND(C30="Émissions_Fugitives",D30="Optimisation réfrigération"),"1151210",IF(AND(C30="Conversion",D30="Bioénergies"),"1151240",IF(AND(C30="Conversion",D30="Solaires"),"1151202",INDEX(OFFSET(Type_Entreprise,,2,,),MATCH('1. Demande'!AI$76,Type_Entreprise,0))))))</f>
        <v>0</v>
      </c>
    </row>
    <row r="31" spans="1:44" ht="15.75" customHeight="1">
      <c r="A31" s="36"/>
      <c r="B31" s="37"/>
      <c r="C31" s="37" t="s">
        <v>189</v>
      </c>
      <c r="D31" s="37"/>
      <c r="E31" s="37" t="s">
        <v>189</v>
      </c>
      <c r="F31" s="37"/>
      <c r="G31" s="252">
        <f ca="1" t="shared" si="0"/>
      </c>
      <c r="H31" s="373"/>
      <c r="I31" s="254"/>
      <c r="J31" s="37"/>
      <c r="K31" s="271"/>
      <c r="L31" s="254"/>
      <c r="M31" s="269"/>
      <c r="N31" s="375"/>
      <c r="O31" s="253">
        <f ca="1" t="shared" si="1"/>
      </c>
      <c r="P31" s="256">
        <f ca="1" t="shared" si="2"/>
      </c>
      <c r="Q31" s="378">
        <v>0</v>
      </c>
      <c r="R31" s="378">
        <v>0</v>
      </c>
      <c r="S31" s="378">
        <v>0</v>
      </c>
      <c r="T31" s="379"/>
      <c r="U31" s="378"/>
      <c r="V31" s="36" t="s">
        <v>189</v>
      </c>
      <c r="W31" s="71"/>
      <c r="X31" s="71"/>
      <c r="Y31" s="382"/>
      <c r="Z31" s="382"/>
      <c r="AA31" s="36" t="s">
        <v>189</v>
      </c>
      <c r="AB31" s="36"/>
      <c r="AC31" s="36" t="s">
        <v>189</v>
      </c>
      <c r="AD31" s="37"/>
      <c r="AE31" s="36" t="s">
        <v>928</v>
      </c>
      <c r="AF31" s="37"/>
      <c r="AG31" s="387" t="b">
        <f ca="1" t="shared" si="3"/>
        <v>0</v>
      </c>
      <c r="AH31" s="315">
        <f ca="1" t="shared" si="10"/>
      </c>
      <c r="AI31" s="360">
        <f ca="1" t="shared" si="11"/>
      </c>
      <c r="AJ31" s="315">
        <f ca="1" t="shared" si="4"/>
      </c>
      <c r="AK31" s="315">
        <f ca="1" t="shared" si="5"/>
      </c>
      <c r="AL31" s="315">
        <f ca="1" t="shared" si="6"/>
        <v>0</v>
      </c>
      <c r="AM31" s="315">
        <f ca="1" t="shared" si="7"/>
      </c>
      <c r="AN31" s="315">
        <f ca="1" t="shared" si="8"/>
      </c>
      <c r="AO31" s="315">
        <f ca="1" t="shared" si="9"/>
      </c>
      <c r="AP31" s="315" t="e">
        <f>CHOOSE(AH31,FALSE,Data!DV$2,Data!DV$2,Data!DV$2,FALSE,FALSE,Data!DV$2)</f>
        <v>#VALUE!</v>
      </c>
      <c r="AQ31" s="315" t="e">
        <f>CHOOSE(AH31,"Affaires",IF(Data!DP$2="agricole","Agricole","Affaires"),IF(Data!DP$2="Agricole","Industriel",Data!DP$2),IF(Data!DP$2="Agricole","Industriel",Data!DP$2),IF(Data!DP$2="Agricole","Agricole","Affaires"),IF(Data!DP$2="Transport","Transport","Affaires"),IF(Data!DP$2="Agricole","Industriel",Data!DP$2))</f>
        <v>#VALUE!</v>
      </c>
      <c r="AR31" s="315">
        <f ca="1">IF(C31="Gestion","1151000",IF(AND(C31="Émissions_Fugitives",D31="Optimisation réfrigération"),"1151210",IF(AND(C31="Conversion",D31="Bioénergies"),"1151240",IF(AND(C31="Conversion",D31="Solaires"),"1151202",INDEX(OFFSET(Type_Entreprise,,2,,),MATCH('1. Demande'!AI$76,Type_Entreprise,0))))))</f>
        <v>0</v>
      </c>
    </row>
    <row r="32" spans="1:44" ht="15.75" customHeight="1">
      <c r="A32" s="36"/>
      <c r="B32" s="37"/>
      <c r="C32" s="37" t="s">
        <v>189</v>
      </c>
      <c r="D32" s="37"/>
      <c r="E32" s="37" t="s">
        <v>189</v>
      </c>
      <c r="F32" s="37"/>
      <c r="G32" s="252">
        <f ca="1" t="shared" si="0"/>
      </c>
      <c r="H32" s="373"/>
      <c r="I32" s="254"/>
      <c r="J32" s="37"/>
      <c r="K32" s="271"/>
      <c r="L32" s="254"/>
      <c r="M32" s="269"/>
      <c r="N32" s="375"/>
      <c r="O32" s="253">
        <f ca="1" t="shared" si="1"/>
      </c>
      <c r="P32" s="256">
        <f ca="1" t="shared" si="2"/>
      </c>
      <c r="Q32" s="378">
        <v>0</v>
      </c>
      <c r="R32" s="378">
        <v>0</v>
      </c>
      <c r="S32" s="378">
        <v>0</v>
      </c>
      <c r="T32" s="379"/>
      <c r="U32" s="378"/>
      <c r="V32" s="36" t="s">
        <v>189</v>
      </c>
      <c r="W32" s="71"/>
      <c r="X32" s="71"/>
      <c r="Y32" s="382"/>
      <c r="Z32" s="382"/>
      <c r="AA32" s="36" t="s">
        <v>189</v>
      </c>
      <c r="AB32" s="36"/>
      <c r="AC32" s="36" t="s">
        <v>189</v>
      </c>
      <c r="AD32" s="37"/>
      <c r="AE32" s="36" t="s">
        <v>928</v>
      </c>
      <c r="AF32" s="37"/>
      <c r="AG32" s="387" t="b">
        <f ca="1" t="shared" si="3"/>
        <v>0</v>
      </c>
      <c r="AH32" s="315">
        <f ca="1" t="shared" si="10"/>
      </c>
      <c r="AI32" s="360">
        <f ca="1" t="shared" si="11"/>
      </c>
      <c r="AJ32" s="315">
        <f ca="1" t="shared" si="4"/>
      </c>
      <c r="AK32" s="315">
        <f ca="1" t="shared" si="5"/>
      </c>
      <c r="AL32" s="315">
        <f ca="1" t="shared" si="6"/>
        <v>0</v>
      </c>
      <c r="AM32" s="315">
        <f ca="1" t="shared" si="7"/>
      </c>
      <c r="AN32" s="315">
        <f ca="1" t="shared" si="8"/>
      </c>
      <c r="AO32" s="315">
        <f ca="1" t="shared" si="9"/>
      </c>
      <c r="AP32" s="315" t="e">
        <f>CHOOSE(AH32,FALSE,Data!DV$2,Data!DV$2,Data!DV$2,FALSE,FALSE,Data!DV$2)</f>
        <v>#VALUE!</v>
      </c>
      <c r="AQ32" s="315" t="e">
        <f>CHOOSE(AH32,"Affaires",IF(Data!DP$2="agricole","Agricole","Affaires"),IF(Data!DP$2="Agricole","Industriel",Data!DP$2),IF(Data!DP$2="Agricole","Industriel",Data!DP$2),IF(Data!DP$2="Agricole","Agricole","Affaires"),IF(Data!DP$2="Transport","Transport","Affaires"),IF(Data!DP$2="Agricole","Industriel",Data!DP$2))</f>
        <v>#VALUE!</v>
      </c>
      <c r="AR32" s="315">
        <f ca="1">IF(C32="Gestion","1151000",IF(AND(C32="Émissions_Fugitives",D32="Optimisation réfrigération"),"1151210",IF(AND(C32="Conversion",D32="Bioénergies"),"1151240",IF(AND(C32="Conversion",D32="Solaires"),"1151202",INDEX(OFFSET(Type_Entreprise,,2,,),MATCH('1. Demande'!AI$76,Type_Entreprise,0))))))</f>
        <v>0</v>
      </c>
    </row>
    <row r="33" spans="1:44" ht="15.75" customHeight="1">
      <c r="A33" s="36"/>
      <c r="B33" s="520"/>
      <c r="C33" s="520" t="s">
        <v>189</v>
      </c>
      <c r="D33" s="520"/>
      <c r="E33" s="520" t="s">
        <v>189</v>
      </c>
      <c r="F33" s="520"/>
      <c r="G33" s="521">
        <f ca="1" t="shared" si="0"/>
      </c>
      <c r="H33" s="522"/>
      <c r="I33" s="523"/>
      <c r="J33" s="520"/>
      <c r="K33" s="271"/>
      <c r="L33" s="254"/>
      <c r="M33" s="269"/>
      <c r="N33" s="375"/>
      <c r="O33" s="253">
        <f ca="1" t="shared" si="1"/>
      </c>
      <c r="P33" s="256">
        <f ca="1" t="shared" si="2"/>
      </c>
      <c r="Q33" s="378">
        <v>0</v>
      </c>
      <c r="R33" s="378">
        <v>0</v>
      </c>
      <c r="S33" s="378">
        <v>0</v>
      </c>
      <c r="T33" s="379"/>
      <c r="U33" s="378"/>
      <c r="V33" s="36" t="s">
        <v>189</v>
      </c>
      <c r="W33" s="71"/>
      <c r="X33" s="71"/>
      <c r="Y33" s="382"/>
      <c r="Z33" s="382"/>
      <c r="AA33" s="36" t="s">
        <v>189</v>
      </c>
      <c r="AB33" s="36"/>
      <c r="AC33" s="36" t="s">
        <v>189</v>
      </c>
      <c r="AD33" s="37"/>
      <c r="AE33" s="36" t="s">
        <v>928</v>
      </c>
      <c r="AF33" s="37"/>
      <c r="AG33" s="387" t="b">
        <f ca="1" t="shared" si="3"/>
        <v>0</v>
      </c>
      <c r="AH33" s="315">
        <f ca="1" t="shared" si="10"/>
      </c>
      <c r="AI33" s="360">
        <f ca="1" t="shared" si="11"/>
      </c>
      <c r="AJ33" s="315">
        <f ca="1" t="shared" si="4"/>
      </c>
      <c r="AK33" s="315">
        <f ca="1" t="shared" si="5"/>
      </c>
      <c r="AL33" s="315">
        <f ca="1" t="shared" si="6"/>
        <v>0</v>
      </c>
      <c r="AM33" s="315">
        <f ca="1" t="shared" si="7"/>
      </c>
      <c r="AN33" s="315">
        <f ca="1" t="shared" si="8"/>
      </c>
      <c r="AO33" s="315">
        <f ca="1" t="shared" si="9"/>
      </c>
      <c r="AP33" s="315" t="e">
        <f>CHOOSE(AH33,FALSE,Data!DV$2,Data!DV$2,Data!DV$2,FALSE,FALSE,Data!DV$2)</f>
        <v>#VALUE!</v>
      </c>
      <c r="AQ33" s="315" t="e">
        <f>CHOOSE(AH33,"Affaires",IF(Data!DP$2="agricole","Agricole","Affaires"),IF(Data!DP$2="Agricole","Industriel",Data!DP$2),IF(Data!DP$2="Agricole","Industriel",Data!DP$2),IF(Data!DP$2="Agricole","Agricole","Affaires"),IF(Data!DP$2="Transport","Transport","Affaires"),IF(Data!DP$2="Agricole","Industriel",Data!DP$2))</f>
        <v>#VALUE!</v>
      </c>
      <c r="AR33" s="315">
        <f ca="1">IF(C33="Gestion","1151000",IF(AND(C33="Émissions_Fugitives",D33="Optimisation réfrigération"),"1151210",IF(AND(C33="Conversion",D33="Bioénergies"),"1151240",IF(AND(C33="Conversion",D33="Solaires"),"1151202",INDEX(OFFSET(Type_Entreprise,,2,,),MATCH('1. Demande'!AI$76,Type_Entreprise,0))))))</f>
        <v>0</v>
      </c>
    </row>
    <row r="34" spans="1:44" ht="15.75" customHeight="1">
      <c r="A34" s="36"/>
      <c r="B34" s="37"/>
      <c r="C34" s="37" t="s">
        <v>189</v>
      </c>
      <c r="D34" s="37"/>
      <c r="E34" s="37" t="s">
        <v>189</v>
      </c>
      <c r="F34" s="37"/>
      <c r="G34" s="252">
        <f ca="1" t="shared" si="0"/>
      </c>
      <c r="H34" s="373"/>
      <c r="I34" s="254"/>
      <c r="J34" s="37"/>
      <c r="K34" s="271"/>
      <c r="L34" s="254"/>
      <c r="M34" s="269"/>
      <c r="N34" s="375"/>
      <c r="O34" s="253">
        <f ca="1" t="shared" si="1"/>
      </c>
      <c r="P34" s="256">
        <f ca="1" t="shared" si="2"/>
      </c>
      <c r="Q34" s="378">
        <v>0</v>
      </c>
      <c r="R34" s="378">
        <v>0</v>
      </c>
      <c r="S34" s="378">
        <v>0</v>
      </c>
      <c r="T34" s="379"/>
      <c r="U34" s="378"/>
      <c r="V34" s="36" t="s">
        <v>189</v>
      </c>
      <c r="W34" s="71"/>
      <c r="X34" s="71"/>
      <c r="Y34" s="382"/>
      <c r="Z34" s="382"/>
      <c r="AA34" s="36" t="s">
        <v>189</v>
      </c>
      <c r="AB34" s="36"/>
      <c r="AC34" s="36" t="s">
        <v>189</v>
      </c>
      <c r="AD34" s="37"/>
      <c r="AE34" s="36" t="s">
        <v>928</v>
      </c>
      <c r="AF34" s="37"/>
      <c r="AG34" s="387" t="b">
        <f ca="1" t="shared" si="3"/>
        <v>0</v>
      </c>
      <c r="AH34" s="315">
        <f ca="1" t="shared" si="10"/>
      </c>
      <c r="AI34" s="360">
        <f ca="1" t="shared" si="11"/>
      </c>
      <c r="AJ34" s="315">
        <f ca="1" t="shared" si="4"/>
      </c>
      <c r="AK34" s="315">
        <f ca="1" t="shared" si="5"/>
      </c>
      <c r="AL34" s="315">
        <f ca="1" t="shared" si="6"/>
        <v>0</v>
      </c>
      <c r="AM34" s="315">
        <f ca="1" t="shared" si="7"/>
      </c>
      <c r="AN34" s="315">
        <f ca="1" t="shared" si="8"/>
      </c>
      <c r="AO34" s="315">
        <f ca="1" t="shared" si="9"/>
      </c>
      <c r="AP34" s="315" t="e">
        <f>CHOOSE(AH34,FALSE,Data!DV$2,Data!DV$2,Data!DV$2,FALSE,FALSE,Data!DV$2)</f>
        <v>#VALUE!</v>
      </c>
      <c r="AQ34" s="315" t="e">
        <f>CHOOSE(AH34,"Affaires",IF(Data!DP$2="agricole","Agricole","Affaires"),IF(Data!DP$2="Agricole","Industriel",Data!DP$2),IF(Data!DP$2="Agricole","Industriel",Data!DP$2),IF(Data!DP$2="Agricole","Agricole","Affaires"),IF(Data!DP$2="Transport","Transport","Affaires"),IF(Data!DP$2="Agricole","Industriel",Data!DP$2))</f>
        <v>#VALUE!</v>
      </c>
      <c r="AR34" s="315">
        <f ca="1">IF(C34="Gestion","1151000",IF(AND(C34="Émissions_Fugitives",D34="Optimisation réfrigération"),"1151210",IF(AND(C34="Conversion",D34="Bioénergies"),"1151240",IF(AND(C34="Conversion",D34="Solaires"),"1151202",INDEX(OFFSET(Type_Entreprise,,2,,),MATCH('1. Demande'!AI$76,Type_Entreprise,0))))))</f>
        <v>0</v>
      </c>
    </row>
    <row r="35" spans="1:44" ht="15.75" customHeight="1">
      <c r="A35" s="36"/>
      <c r="B35" s="37"/>
      <c r="C35" s="37" t="s">
        <v>189</v>
      </c>
      <c r="D35" s="37"/>
      <c r="E35" s="37" t="s">
        <v>189</v>
      </c>
      <c r="F35" s="37"/>
      <c r="G35" s="252">
        <f ca="1" t="shared" si="0"/>
      </c>
      <c r="H35" s="373"/>
      <c r="I35" s="254"/>
      <c r="J35" s="37"/>
      <c r="K35" s="271"/>
      <c r="L35" s="254"/>
      <c r="M35" s="269"/>
      <c r="N35" s="375"/>
      <c r="O35" s="253">
        <f ca="1" t="shared" si="1"/>
      </c>
      <c r="P35" s="256">
        <f ca="1" t="shared" si="2"/>
      </c>
      <c r="Q35" s="378">
        <v>0</v>
      </c>
      <c r="R35" s="378">
        <v>0</v>
      </c>
      <c r="S35" s="378">
        <v>0</v>
      </c>
      <c r="T35" s="379"/>
      <c r="U35" s="378"/>
      <c r="V35" s="36" t="s">
        <v>189</v>
      </c>
      <c r="W35" s="71"/>
      <c r="X35" s="71"/>
      <c r="Y35" s="382"/>
      <c r="Z35" s="382"/>
      <c r="AA35" s="36" t="s">
        <v>189</v>
      </c>
      <c r="AB35" s="36"/>
      <c r="AC35" s="36" t="s">
        <v>189</v>
      </c>
      <c r="AD35" s="37"/>
      <c r="AE35" s="36" t="s">
        <v>928</v>
      </c>
      <c r="AF35" s="37"/>
      <c r="AG35" s="387" t="b">
        <f ca="1" t="shared" si="3"/>
        <v>0</v>
      </c>
      <c r="AH35" s="315">
        <f ca="1" t="shared" si="10"/>
      </c>
      <c r="AI35" s="360">
        <f ca="1" t="shared" si="11"/>
      </c>
      <c r="AJ35" s="315">
        <f ca="1" t="shared" si="4"/>
      </c>
      <c r="AK35" s="315">
        <f ca="1" t="shared" si="5"/>
      </c>
      <c r="AL35" s="315">
        <f ca="1" t="shared" si="6"/>
        <v>0</v>
      </c>
      <c r="AM35" s="315">
        <f ca="1" t="shared" si="7"/>
      </c>
      <c r="AN35" s="315">
        <f ca="1" t="shared" si="8"/>
      </c>
      <c r="AO35" s="315">
        <f ca="1" t="shared" si="9"/>
      </c>
      <c r="AP35" s="315" t="e">
        <f>CHOOSE(AH35,FALSE,Data!DV$2,Data!DV$2,Data!DV$2,FALSE,FALSE,Data!DV$2)</f>
        <v>#VALUE!</v>
      </c>
      <c r="AQ35" s="315" t="e">
        <f>CHOOSE(AH35,"Affaires",IF(Data!DP$2="agricole","Agricole","Affaires"),IF(Data!DP$2="Agricole","Industriel",Data!DP$2),IF(Data!DP$2="Agricole","Industriel",Data!DP$2),IF(Data!DP$2="Agricole","Agricole","Affaires"),IF(Data!DP$2="Transport","Transport","Affaires"),IF(Data!DP$2="Agricole","Industriel",Data!DP$2))</f>
        <v>#VALUE!</v>
      </c>
      <c r="AR35" s="315">
        <f ca="1">IF(C35="Gestion","1151000",IF(AND(C35="Émissions_Fugitives",D35="Optimisation réfrigération"),"1151210",IF(AND(C35="Conversion",D35="Bioénergies"),"1151240",IF(AND(C35="Conversion",D35="Solaires"),"1151202",INDEX(OFFSET(Type_Entreprise,,2,,),MATCH('1. Demande'!AI$76,Type_Entreprise,0))))))</f>
        <v>0</v>
      </c>
    </row>
    <row r="36" spans="1:44" ht="15.75" customHeight="1">
      <c r="A36" s="36"/>
      <c r="B36" s="37"/>
      <c r="C36" s="37" t="s">
        <v>189</v>
      </c>
      <c r="D36" s="37"/>
      <c r="E36" s="37" t="s">
        <v>189</v>
      </c>
      <c r="F36" s="37"/>
      <c r="G36" s="252">
        <f ca="1" t="shared" si="0"/>
      </c>
      <c r="H36" s="373"/>
      <c r="I36" s="254"/>
      <c r="J36" s="37"/>
      <c r="K36" s="271"/>
      <c r="L36" s="254"/>
      <c r="M36" s="269"/>
      <c r="N36" s="375"/>
      <c r="O36" s="253">
        <f ca="1" t="shared" si="1"/>
      </c>
      <c r="P36" s="256">
        <f ca="1" t="shared" si="2"/>
      </c>
      <c r="Q36" s="378">
        <v>0</v>
      </c>
      <c r="R36" s="378">
        <v>0</v>
      </c>
      <c r="S36" s="378">
        <v>0</v>
      </c>
      <c r="T36" s="379"/>
      <c r="U36" s="378"/>
      <c r="V36" s="36" t="s">
        <v>189</v>
      </c>
      <c r="W36" s="71"/>
      <c r="X36" s="71"/>
      <c r="Y36" s="382"/>
      <c r="Z36" s="382"/>
      <c r="AA36" s="36" t="s">
        <v>189</v>
      </c>
      <c r="AB36" s="36"/>
      <c r="AC36" s="36" t="s">
        <v>189</v>
      </c>
      <c r="AD36" s="37"/>
      <c r="AE36" s="36" t="s">
        <v>928</v>
      </c>
      <c r="AF36" s="37"/>
      <c r="AG36" s="387" t="b">
        <f ca="1" t="shared" si="3"/>
        <v>0</v>
      </c>
      <c r="AH36" s="315">
        <f ca="1" t="shared" si="10"/>
      </c>
      <c r="AI36" s="360">
        <f ca="1" t="shared" si="11"/>
      </c>
      <c r="AJ36" s="315">
        <f ca="1" t="shared" si="4"/>
      </c>
      <c r="AK36" s="315">
        <f ca="1" t="shared" si="5"/>
      </c>
      <c r="AL36" s="315">
        <f ca="1" t="shared" si="6"/>
        <v>0</v>
      </c>
      <c r="AM36" s="315">
        <f ca="1" t="shared" si="7"/>
      </c>
      <c r="AN36" s="315">
        <f ca="1" t="shared" si="8"/>
      </c>
      <c r="AO36" s="315">
        <f ca="1" t="shared" si="9"/>
      </c>
      <c r="AP36" s="315" t="e">
        <f>CHOOSE(AH36,FALSE,Data!DV$2,Data!DV$2,Data!DV$2,FALSE,FALSE,Data!DV$2)</f>
        <v>#VALUE!</v>
      </c>
      <c r="AQ36" s="315" t="e">
        <f>CHOOSE(AH36,"Affaires",IF(Data!DP$2="agricole","Agricole","Affaires"),IF(Data!DP$2="Agricole","Industriel",Data!DP$2),IF(Data!DP$2="Agricole","Industriel",Data!DP$2),IF(Data!DP$2="Agricole","Agricole","Affaires"),IF(Data!DP$2="Transport","Transport","Affaires"),IF(Data!DP$2="Agricole","Industriel",Data!DP$2))</f>
        <v>#VALUE!</v>
      </c>
      <c r="AR36" s="315">
        <f ca="1">IF(C36="Gestion","1151000",IF(AND(C36="Émissions_Fugitives",D36="Optimisation réfrigération"),"1151210",IF(AND(C36="Conversion",D36="Bioénergies"),"1151240",IF(AND(C36="Conversion",D36="Solaires"),"1151202",INDEX(OFFSET(Type_Entreprise,,2,,),MATCH('1. Demande'!AI$76,Type_Entreprise,0))))))</f>
        <v>0</v>
      </c>
    </row>
    <row r="37" spans="1:44" ht="15.75" customHeight="1">
      <c r="A37" s="36"/>
      <c r="B37" s="37"/>
      <c r="C37" s="37" t="s">
        <v>189</v>
      </c>
      <c r="D37" s="37"/>
      <c r="E37" s="37" t="s">
        <v>189</v>
      </c>
      <c r="F37" s="37"/>
      <c r="G37" s="252">
        <f ca="1" t="shared" si="0"/>
      </c>
      <c r="H37" s="373"/>
      <c r="I37" s="254"/>
      <c r="J37" s="37"/>
      <c r="K37" s="271"/>
      <c r="L37" s="254"/>
      <c r="M37" s="269"/>
      <c r="N37" s="375"/>
      <c r="O37" s="253">
        <f ca="1" t="shared" si="1"/>
      </c>
      <c r="P37" s="256">
        <f ca="1" t="shared" si="2"/>
      </c>
      <c r="Q37" s="378">
        <v>0</v>
      </c>
      <c r="R37" s="378">
        <v>0</v>
      </c>
      <c r="S37" s="378">
        <v>0</v>
      </c>
      <c r="T37" s="379"/>
      <c r="U37" s="378"/>
      <c r="V37" s="36" t="s">
        <v>189</v>
      </c>
      <c r="W37" s="71"/>
      <c r="X37" s="71"/>
      <c r="Y37" s="382"/>
      <c r="Z37" s="382"/>
      <c r="AA37" s="36" t="s">
        <v>189</v>
      </c>
      <c r="AB37" s="36"/>
      <c r="AC37" s="36" t="s">
        <v>189</v>
      </c>
      <c r="AD37" s="37"/>
      <c r="AE37" s="36" t="s">
        <v>928</v>
      </c>
      <c r="AF37" s="37"/>
      <c r="AG37" s="387" t="b">
        <f ca="1" t="shared" si="3"/>
        <v>0</v>
      </c>
      <c r="AH37" s="315">
        <f ca="1" t="shared" si="10"/>
      </c>
      <c r="AI37" s="360">
        <f ca="1" t="shared" si="11"/>
      </c>
      <c r="AJ37" s="315">
        <f ca="1" t="shared" si="4"/>
      </c>
      <c r="AK37" s="315">
        <f ca="1" t="shared" si="5"/>
      </c>
      <c r="AL37" s="315">
        <f ca="1" t="shared" si="6"/>
        <v>0</v>
      </c>
      <c r="AM37" s="315">
        <f ca="1" t="shared" si="7"/>
      </c>
      <c r="AN37" s="315">
        <f ca="1" t="shared" si="8"/>
      </c>
      <c r="AO37" s="315">
        <f ca="1" t="shared" si="9"/>
      </c>
      <c r="AP37" s="315" t="e">
        <f>CHOOSE(AH37,FALSE,Data!DV$2,Data!DV$2,Data!DV$2,FALSE,FALSE,Data!DV$2)</f>
        <v>#VALUE!</v>
      </c>
      <c r="AQ37" s="315" t="e">
        <f>CHOOSE(AH37,"Affaires",IF(Data!DP$2="agricole","Agricole","Affaires"),IF(Data!DP$2="Agricole","Industriel",Data!DP$2),IF(Data!DP$2="Agricole","Industriel",Data!DP$2),IF(Data!DP$2="Agricole","Agricole","Affaires"),IF(Data!DP$2="Transport","Transport","Affaires"),IF(Data!DP$2="Agricole","Industriel",Data!DP$2))</f>
        <v>#VALUE!</v>
      </c>
      <c r="AR37" s="315">
        <f ca="1">IF(C37="Gestion","1151000",IF(AND(C37="Émissions_Fugitives",D37="Optimisation réfrigération"),"1151210",IF(AND(C37="Conversion",D37="Bioénergies"),"1151240",IF(AND(C37="Conversion",D37="Solaires"),"1151202",INDEX(OFFSET(Type_Entreprise,,2,,),MATCH('1. Demande'!AI$76,Type_Entreprise,0))))))</f>
        <v>0</v>
      </c>
    </row>
    <row r="38" spans="1:44" ht="15.75" customHeight="1">
      <c r="A38" s="36"/>
      <c r="B38" s="37"/>
      <c r="C38" s="37" t="s">
        <v>189</v>
      </c>
      <c r="D38" s="37"/>
      <c r="E38" s="37" t="s">
        <v>189</v>
      </c>
      <c r="F38" s="37"/>
      <c r="G38" s="252">
        <f ca="1" t="shared" si="0"/>
      </c>
      <c r="H38" s="373"/>
      <c r="I38" s="254"/>
      <c r="J38" s="37"/>
      <c r="K38" s="271"/>
      <c r="L38" s="254"/>
      <c r="M38" s="269"/>
      <c r="N38" s="375"/>
      <c r="O38" s="253">
        <f ca="1" t="shared" si="1"/>
      </c>
      <c r="P38" s="256">
        <f ca="1" t="shared" si="2"/>
      </c>
      <c r="Q38" s="378">
        <v>0</v>
      </c>
      <c r="R38" s="378">
        <v>0</v>
      </c>
      <c r="S38" s="378">
        <v>0</v>
      </c>
      <c r="T38" s="379"/>
      <c r="U38" s="378"/>
      <c r="V38" s="36" t="s">
        <v>189</v>
      </c>
      <c r="W38" s="71"/>
      <c r="X38" s="71"/>
      <c r="Y38" s="382"/>
      <c r="Z38" s="382"/>
      <c r="AA38" s="36" t="s">
        <v>189</v>
      </c>
      <c r="AB38" s="36"/>
      <c r="AC38" s="36" t="s">
        <v>189</v>
      </c>
      <c r="AD38" s="37"/>
      <c r="AE38" s="36" t="s">
        <v>928</v>
      </c>
      <c r="AF38" s="37"/>
      <c r="AG38" s="387" t="b">
        <f ca="1" t="shared" si="3"/>
        <v>0</v>
      </c>
      <c r="AH38" s="315">
        <f ca="1" t="shared" si="10"/>
      </c>
      <c r="AI38" s="360">
        <f ca="1" t="shared" si="11"/>
      </c>
      <c r="AJ38" s="315">
        <f ca="1" t="shared" si="4"/>
      </c>
      <c r="AK38" s="315">
        <f ca="1" t="shared" si="5"/>
      </c>
      <c r="AL38" s="315">
        <f ca="1" t="shared" si="6"/>
        <v>0</v>
      </c>
      <c r="AM38" s="315">
        <f ca="1" t="shared" si="7"/>
      </c>
      <c r="AN38" s="315">
        <f ca="1" t="shared" si="8"/>
      </c>
      <c r="AO38" s="315">
        <f ca="1" t="shared" si="9"/>
      </c>
      <c r="AP38" s="315" t="e">
        <f>CHOOSE(AH38,FALSE,Data!DV$2,Data!DV$2,Data!DV$2,FALSE,FALSE,Data!DV$2)</f>
        <v>#VALUE!</v>
      </c>
      <c r="AQ38" s="315" t="e">
        <f>CHOOSE(AH38,"Affaires",IF(Data!DP$2="agricole","Agricole","Affaires"),IF(Data!DP$2="Agricole","Industriel",Data!DP$2),IF(Data!DP$2="Agricole","Industriel",Data!DP$2),IF(Data!DP$2="Agricole","Agricole","Affaires"),IF(Data!DP$2="Transport","Transport","Affaires"),IF(Data!DP$2="Agricole","Industriel",Data!DP$2))</f>
        <v>#VALUE!</v>
      </c>
      <c r="AR38" s="315">
        <f ca="1">IF(C38="Gestion","1151000",IF(AND(C38="Émissions_Fugitives",D38="Optimisation réfrigération"),"1151210",IF(AND(C38="Conversion",D38="Bioénergies"),"1151240",IF(AND(C38="Conversion",D38="Solaires"),"1151202",INDEX(OFFSET(Type_Entreprise,,2,,),MATCH('1. Demande'!AI$76,Type_Entreprise,0))))))</f>
        <v>0</v>
      </c>
    </row>
    <row r="39" spans="1:44" ht="15.75" customHeight="1">
      <c r="A39" s="36"/>
      <c r="B39" s="37"/>
      <c r="C39" s="37" t="s">
        <v>189</v>
      </c>
      <c r="D39" s="37"/>
      <c r="E39" s="37" t="s">
        <v>189</v>
      </c>
      <c r="F39" s="37"/>
      <c r="G39" s="252">
        <f ca="1" t="shared" si="0"/>
      </c>
      <c r="H39" s="373"/>
      <c r="I39" s="254"/>
      <c r="J39" s="37"/>
      <c r="K39" s="271"/>
      <c r="L39" s="254"/>
      <c r="M39" s="269"/>
      <c r="N39" s="375"/>
      <c r="O39" s="253">
        <f ca="1" t="shared" si="1"/>
      </c>
      <c r="P39" s="256">
        <f ca="1" t="shared" si="2"/>
      </c>
      <c r="Q39" s="378">
        <v>0</v>
      </c>
      <c r="R39" s="378">
        <v>0</v>
      </c>
      <c r="S39" s="378">
        <v>0</v>
      </c>
      <c r="T39" s="379"/>
      <c r="U39" s="378"/>
      <c r="V39" s="36" t="s">
        <v>189</v>
      </c>
      <c r="W39" s="71"/>
      <c r="X39" s="71"/>
      <c r="Y39" s="382"/>
      <c r="Z39" s="382"/>
      <c r="AA39" s="36" t="s">
        <v>189</v>
      </c>
      <c r="AB39" s="36"/>
      <c r="AC39" s="36" t="s">
        <v>189</v>
      </c>
      <c r="AD39" s="37"/>
      <c r="AE39" s="36" t="s">
        <v>928</v>
      </c>
      <c r="AF39" s="37"/>
      <c r="AG39" s="387" t="b">
        <f ca="1" t="shared" si="3"/>
        <v>0</v>
      </c>
      <c r="AH39" s="315">
        <f ca="1" t="shared" si="10"/>
      </c>
      <c r="AI39" s="360">
        <f ca="1" t="shared" si="11"/>
      </c>
      <c r="AJ39" s="315">
        <f ca="1" t="shared" si="4"/>
      </c>
      <c r="AK39" s="315">
        <f ca="1" t="shared" si="5"/>
      </c>
      <c r="AL39" s="315">
        <f ca="1" t="shared" si="6"/>
        <v>0</v>
      </c>
      <c r="AM39" s="315">
        <f ca="1" t="shared" si="7"/>
      </c>
      <c r="AN39" s="315">
        <f ca="1" t="shared" si="8"/>
      </c>
      <c r="AO39" s="315">
        <f ca="1" t="shared" si="9"/>
      </c>
      <c r="AP39" s="315" t="e">
        <f>CHOOSE(AH39,FALSE,Data!DV$2,Data!DV$2,Data!DV$2,FALSE,FALSE,Data!DV$2)</f>
        <v>#VALUE!</v>
      </c>
      <c r="AQ39" s="315" t="e">
        <f>CHOOSE(AH39,"Affaires",IF(Data!DP$2="agricole","Agricole","Affaires"),IF(Data!DP$2="Agricole","Industriel",Data!DP$2),IF(Data!DP$2="Agricole","Industriel",Data!DP$2),IF(Data!DP$2="Agricole","Agricole","Affaires"),IF(Data!DP$2="Transport","Transport","Affaires"),IF(Data!DP$2="Agricole","Industriel",Data!DP$2))</f>
        <v>#VALUE!</v>
      </c>
      <c r="AR39" s="315">
        <f ca="1">IF(C39="Gestion","1151000",IF(AND(C39="Émissions_Fugitives",D39="Optimisation réfrigération"),"1151210",IF(AND(C39="Conversion",D39="Bioénergies"),"1151240",IF(AND(C39="Conversion",D39="Solaires"),"1151202",INDEX(OFFSET(Type_Entreprise,,2,,),MATCH('1. Demande'!AI$76,Type_Entreprise,0))))))</f>
        <v>0</v>
      </c>
    </row>
    <row r="40" spans="1:44" ht="15.75" customHeight="1">
      <c r="A40" s="36"/>
      <c r="B40" s="37"/>
      <c r="C40" s="37" t="s">
        <v>189</v>
      </c>
      <c r="D40" s="37"/>
      <c r="E40" s="37" t="s">
        <v>189</v>
      </c>
      <c r="F40" s="37"/>
      <c r="G40" s="252">
        <f ca="1" t="shared" si="0"/>
      </c>
      <c r="H40" s="373"/>
      <c r="I40" s="254"/>
      <c r="J40" s="37"/>
      <c r="K40" s="271"/>
      <c r="L40" s="254"/>
      <c r="M40" s="269"/>
      <c r="N40" s="375"/>
      <c r="O40" s="253">
        <f ca="1" t="shared" si="1"/>
      </c>
      <c r="P40" s="256">
        <f ca="1" t="shared" si="2"/>
      </c>
      <c r="Q40" s="378">
        <v>0</v>
      </c>
      <c r="R40" s="378">
        <v>0</v>
      </c>
      <c r="S40" s="378">
        <v>0</v>
      </c>
      <c r="T40" s="379"/>
      <c r="U40" s="378"/>
      <c r="V40" s="36" t="s">
        <v>189</v>
      </c>
      <c r="W40" s="71"/>
      <c r="X40" s="71"/>
      <c r="Y40" s="382"/>
      <c r="Z40" s="382"/>
      <c r="AA40" s="36" t="s">
        <v>189</v>
      </c>
      <c r="AB40" s="36"/>
      <c r="AC40" s="36" t="s">
        <v>189</v>
      </c>
      <c r="AD40" s="37"/>
      <c r="AE40" s="36" t="s">
        <v>928</v>
      </c>
      <c r="AF40" s="37"/>
      <c r="AG40" s="387" t="b">
        <f ca="1" t="shared" si="3"/>
        <v>0</v>
      </c>
      <c r="AH40" s="315">
        <f ca="1" t="shared" si="10"/>
      </c>
      <c r="AI40" s="360">
        <f ca="1" t="shared" si="11"/>
      </c>
      <c r="AJ40" s="315">
        <f ca="1" t="shared" si="4"/>
      </c>
      <c r="AK40" s="315">
        <f ca="1" t="shared" si="5"/>
      </c>
      <c r="AL40" s="315">
        <f ca="1" t="shared" si="6"/>
        <v>0</v>
      </c>
      <c r="AM40" s="315">
        <f ca="1" t="shared" si="7"/>
      </c>
      <c r="AN40" s="315">
        <f ca="1" t="shared" si="8"/>
      </c>
      <c r="AO40" s="315">
        <f ca="1" t="shared" si="9"/>
      </c>
      <c r="AP40" s="315" t="e">
        <f>CHOOSE(AH40,FALSE,Data!DV$2,Data!DV$2,Data!DV$2,FALSE,FALSE,Data!DV$2)</f>
        <v>#VALUE!</v>
      </c>
      <c r="AQ40" s="315" t="e">
        <f>CHOOSE(AH40,"Affaires",IF(Data!DP$2="agricole","Agricole","Affaires"),IF(Data!DP$2="Agricole","Industriel",Data!DP$2),IF(Data!DP$2="Agricole","Industriel",Data!DP$2),IF(Data!DP$2="Agricole","Agricole","Affaires"),IF(Data!DP$2="Transport","Transport","Affaires"),IF(Data!DP$2="Agricole","Industriel",Data!DP$2))</f>
        <v>#VALUE!</v>
      </c>
      <c r="AR40" s="315">
        <f ca="1">IF(C40="Gestion","1151000",IF(AND(C40="Émissions_Fugitives",D40="Optimisation réfrigération"),"1151210",IF(AND(C40="Conversion",D40="Bioénergies"),"1151240",IF(AND(C40="Conversion",D40="Solaires"),"1151202",INDEX(OFFSET(Type_Entreprise,,2,,),MATCH('1. Demande'!AI$76,Type_Entreprise,0))))))</f>
        <v>0</v>
      </c>
    </row>
    <row r="41" spans="1:44" ht="15.75" customHeight="1">
      <c r="A41" s="36"/>
      <c r="B41" s="37"/>
      <c r="C41" s="37" t="s">
        <v>189</v>
      </c>
      <c r="D41" s="37"/>
      <c r="E41" s="37" t="s">
        <v>189</v>
      </c>
      <c r="F41" s="37"/>
      <c r="G41" s="252">
        <f ca="1" t="shared" si="0"/>
      </c>
      <c r="H41" s="373"/>
      <c r="I41" s="254"/>
      <c r="J41" s="37"/>
      <c r="K41" s="271"/>
      <c r="L41" s="254"/>
      <c r="M41" s="269"/>
      <c r="N41" s="375"/>
      <c r="O41" s="253">
        <f ca="1" t="shared" si="1"/>
      </c>
      <c r="P41" s="256">
        <f ca="1" t="shared" si="2"/>
      </c>
      <c r="Q41" s="378">
        <v>0</v>
      </c>
      <c r="R41" s="378">
        <v>0</v>
      </c>
      <c r="S41" s="378">
        <v>0</v>
      </c>
      <c r="T41" s="379"/>
      <c r="U41" s="378"/>
      <c r="V41" s="36" t="s">
        <v>189</v>
      </c>
      <c r="W41" s="71"/>
      <c r="X41" s="71"/>
      <c r="Y41" s="382"/>
      <c r="Z41" s="382"/>
      <c r="AA41" s="36" t="s">
        <v>189</v>
      </c>
      <c r="AB41" s="36"/>
      <c r="AC41" s="36" t="s">
        <v>189</v>
      </c>
      <c r="AD41" s="37"/>
      <c r="AE41" s="36" t="s">
        <v>928</v>
      </c>
      <c r="AF41" s="37"/>
      <c r="AG41" s="387" t="b">
        <f ca="1" t="shared" si="3"/>
        <v>0</v>
      </c>
      <c r="AH41" s="315">
        <f ca="1" t="shared" si="10"/>
      </c>
      <c r="AI41" s="360">
        <f ca="1" t="shared" si="11"/>
      </c>
      <c r="AJ41" s="315">
        <f ca="1" t="shared" si="4"/>
      </c>
      <c r="AK41" s="315">
        <f ca="1" t="shared" si="5"/>
      </c>
      <c r="AL41" s="315">
        <f ca="1" t="shared" si="6"/>
        <v>0</v>
      </c>
      <c r="AM41" s="315">
        <f ca="1" t="shared" si="7"/>
      </c>
      <c r="AN41" s="315">
        <f ca="1" t="shared" si="8"/>
      </c>
      <c r="AO41" s="315">
        <f ca="1" t="shared" si="9"/>
      </c>
      <c r="AP41" s="315" t="e">
        <f>CHOOSE(AH41,FALSE,Data!DV$2,Data!DV$2,Data!DV$2,FALSE,FALSE,Data!DV$2)</f>
        <v>#VALUE!</v>
      </c>
      <c r="AQ41" s="315" t="e">
        <f>CHOOSE(AH41,"Affaires",IF(Data!DP$2="agricole","Agricole","Affaires"),IF(Data!DP$2="Agricole","Industriel",Data!DP$2),IF(Data!DP$2="Agricole","Industriel",Data!DP$2),IF(Data!DP$2="Agricole","Agricole","Affaires"),IF(Data!DP$2="Transport","Transport","Affaires"),IF(Data!DP$2="Agricole","Industriel",Data!DP$2))</f>
        <v>#VALUE!</v>
      </c>
      <c r="AR41" s="315">
        <f ca="1">IF(C41="Gestion","1151000",IF(AND(C41="Émissions_Fugitives",D41="Optimisation réfrigération"),"1151210",IF(AND(C41="Conversion",D41="Bioénergies"),"1151240",IF(AND(C41="Conversion",D41="Solaires"),"1151202",INDEX(OFFSET(Type_Entreprise,,2,,),MATCH('1. Demande'!AI$76,Type_Entreprise,0))))))</f>
        <v>0</v>
      </c>
    </row>
    <row r="42" spans="1:44" ht="15.75" customHeight="1">
      <c r="A42" s="36"/>
      <c r="B42" s="37"/>
      <c r="C42" s="37" t="s">
        <v>189</v>
      </c>
      <c r="D42" s="37"/>
      <c r="E42" s="37" t="s">
        <v>189</v>
      </c>
      <c r="F42" s="37"/>
      <c r="G42" s="252">
        <f ca="1" t="shared" si="0"/>
      </c>
      <c r="H42" s="373"/>
      <c r="I42" s="254"/>
      <c r="J42" s="37"/>
      <c r="K42" s="271"/>
      <c r="L42" s="254"/>
      <c r="M42" s="269"/>
      <c r="N42" s="375"/>
      <c r="O42" s="253">
        <f ca="1" t="shared" si="1"/>
      </c>
      <c r="P42" s="256">
        <f ca="1" t="shared" si="2"/>
      </c>
      <c r="Q42" s="378">
        <v>0</v>
      </c>
      <c r="R42" s="378">
        <v>0</v>
      </c>
      <c r="S42" s="378">
        <v>0</v>
      </c>
      <c r="T42" s="379"/>
      <c r="U42" s="378"/>
      <c r="V42" s="36" t="s">
        <v>189</v>
      </c>
      <c r="W42" s="71"/>
      <c r="X42" s="71"/>
      <c r="Y42" s="382"/>
      <c r="Z42" s="382"/>
      <c r="AA42" s="36" t="s">
        <v>189</v>
      </c>
      <c r="AB42" s="36"/>
      <c r="AC42" s="36" t="s">
        <v>189</v>
      </c>
      <c r="AD42" s="37"/>
      <c r="AE42" s="36" t="s">
        <v>928</v>
      </c>
      <c r="AF42" s="37"/>
      <c r="AG42" s="387" t="b">
        <f ca="1" t="shared" si="3"/>
        <v>0</v>
      </c>
      <c r="AH42" s="315">
        <f ca="1" t="shared" si="10"/>
      </c>
      <c r="AI42" s="360">
        <f ca="1" t="shared" si="11"/>
      </c>
      <c r="AJ42" s="315">
        <f ca="1" t="shared" si="4"/>
      </c>
      <c r="AK42" s="315">
        <f ca="1" t="shared" si="5"/>
      </c>
      <c r="AL42" s="315">
        <f ca="1" t="shared" si="6"/>
        <v>0</v>
      </c>
      <c r="AM42" s="315">
        <f ca="1" t="shared" si="7"/>
      </c>
      <c r="AN42" s="315">
        <f ca="1" t="shared" si="8"/>
      </c>
      <c r="AO42" s="315">
        <f ca="1" t="shared" si="9"/>
      </c>
      <c r="AP42" s="315" t="e">
        <f>CHOOSE(AH42,FALSE,Data!DV$2,Data!DV$2,Data!DV$2,FALSE,FALSE,Data!DV$2)</f>
        <v>#VALUE!</v>
      </c>
      <c r="AQ42" s="315" t="e">
        <f>CHOOSE(AH42,"Affaires",IF(Data!DP$2="agricole","Agricole","Affaires"),IF(Data!DP$2="Agricole","Industriel",Data!DP$2),IF(Data!DP$2="Agricole","Industriel",Data!DP$2),IF(Data!DP$2="Agricole","Agricole","Affaires"),IF(Data!DP$2="Transport","Transport","Affaires"),IF(Data!DP$2="Agricole","Industriel",Data!DP$2))</f>
        <v>#VALUE!</v>
      </c>
      <c r="AR42" s="315">
        <f ca="1">IF(C42="Gestion","1151000",IF(AND(C42="Émissions_Fugitives",D42="Optimisation réfrigération"),"1151210",IF(AND(C42="Conversion",D42="Bioénergies"),"1151240",IF(AND(C42="Conversion",D42="Solaires"),"1151202",INDEX(OFFSET(Type_Entreprise,,2,,),MATCH('1. Demande'!AI$76,Type_Entreprise,0))))))</f>
        <v>0</v>
      </c>
    </row>
    <row r="43" spans="1:44" ht="15.75" customHeight="1">
      <c r="A43" s="36"/>
      <c r="B43" s="37"/>
      <c r="C43" s="37" t="s">
        <v>189</v>
      </c>
      <c r="D43" s="37"/>
      <c r="E43" s="37" t="s">
        <v>189</v>
      </c>
      <c r="F43" s="37"/>
      <c r="G43" s="252">
        <f ca="1" t="shared" si="0"/>
      </c>
      <c r="H43" s="373"/>
      <c r="I43" s="254"/>
      <c r="J43" s="37"/>
      <c r="K43" s="271"/>
      <c r="L43" s="254"/>
      <c r="M43" s="269"/>
      <c r="N43" s="375"/>
      <c r="O43" s="253">
        <f ca="1" t="shared" si="1"/>
      </c>
      <c r="P43" s="256">
        <f ca="1" t="shared" si="2"/>
      </c>
      <c r="Q43" s="378">
        <v>0</v>
      </c>
      <c r="R43" s="378">
        <v>0</v>
      </c>
      <c r="S43" s="378">
        <v>0</v>
      </c>
      <c r="T43" s="379"/>
      <c r="U43" s="378"/>
      <c r="V43" s="36" t="s">
        <v>189</v>
      </c>
      <c r="W43" s="71"/>
      <c r="X43" s="71"/>
      <c r="Y43" s="382"/>
      <c r="Z43" s="382"/>
      <c r="AA43" s="36" t="s">
        <v>189</v>
      </c>
      <c r="AB43" s="36"/>
      <c r="AC43" s="36" t="s">
        <v>189</v>
      </c>
      <c r="AD43" s="37"/>
      <c r="AE43" s="36" t="s">
        <v>928</v>
      </c>
      <c r="AF43" s="37"/>
      <c r="AG43" s="387" t="b">
        <f ca="1" t="shared" si="3"/>
        <v>0</v>
      </c>
      <c r="AH43" s="315">
        <f ca="1" t="shared" si="10"/>
      </c>
      <c r="AI43" s="360">
        <f ca="1" t="shared" si="11"/>
      </c>
      <c r="AJ43" s="315">
        <f ca="1" t="shared" si="4"/>
      </c>
      <c r="AK43" s="315">
        <f ca="1" t="shared" si="5"/>
      </c>
      <c r="AL43" s="315">
        <f ca="1" t="shared" si="6"/>
        <v>0</v>
      </c>
      <c r="AM43" s="315">
        <f ca="1" t="shared" si="7"/>
      </c>
      <c r="AN43" s="315">
        <f ca="1" t="shared" si="8"/>
      </c>
      <c r="AO43" s="315">
        <f ca="1" t="shared" si="9"/>
      </c>
      <c r="AP43" s="315" t="e">
        <f>CHOOSE(AH43,FALSE,Data!DV$2,Data!DV$2,Data!DV$2,FALSE,FALSE,Data!DV$2)</f>
        <v>#VALUE!</v>
      </c>
      <c r="AQ43" s="315" t="e">
        <f>CHOOSE(AH43,"Affaires",IF(Data!DP$2="agricole","Agricole","Affaires"),IF(Data!DP$2="Agricole","Industriel",Data!DP$2),IF(Data!DP$2="Agricole","Industriel",Data!DP$2),IF(Data!DP$2="Agricole","Agricole","Affaires"),IF(Data!DP$2="Transport","Transport","Affaires"),IF(Data!DP$2="Agricole","Industriel",Data!DP$2))</f>
        <v>#VALUE!</v>
      </c>
      <c r="AR43" s="315">
        <f ca="1">IF(C43="Gestion","1151000",IF(AND(C43="Émissions_Fugitives",D43="Optimisation réfrigération"),"1151210",IF(AND(C43="Conversion",D43="Bioénergies"),"1151240",IF(AND(C43="Conversion",D43="Solaires"),"1151202",INDEX(OFFSET(Type_Entreprise,,2,,),MATCH('1. Demande'!AI$76,Type_Entreprise,0))))))</f>
        <v>0</v>
      </c>
    </row>
    <row r="44" spans="1:44" ht="15.75" customHeight="1">
      <c r="A44" s="36"/>
      <c r="B44" s="37"/>
      <c r="C44" s="37" t="s">
        <v>189</v>
      </c>
      <c r="D44" s="37"/>
      <c r="E44" s="37" t="s">
        <v>189</v>
      </c>
      <c r="F44" s="37"/>
      <c r="G44" s="252">
        <f ca="1" t="shared" si="0"/>
      </c>
      <c r="H44" s="373"/>
      <c r="I44" s="254"/>
      <c r="J44" s="37"/>
      <c r="K44" s="271"/>
      <c r="L44" s="254"/>
      <c r="M44" s="269"/>
      <c r="N44" s="375"/>
      <c r="O44" s="253">
        <f ca="1" t="shared" si="1"/>
      </c>
      <c r="P44" s="256">
        <f ca="1" t="shared" si="2"/>
      </c>
      <c r="Q44" s="378">
        <v>0</v>
      </c>
      <c r="R44" s="378">
        <v>0</v>
      </c>
      <c r="S44" s="378">
        <v>0</v>
      </c>
      <c r="T44" s="379"/>
      <c r="U44" s="378"/>
      <c r="V44" s="36" t="s">
        <v>189</v>
      </c>
      <c r="W44" s="71"/>
      <c r="X44" s="71"/>
      <c r="Y44" s="382"/>
      <c r="Z44" s="382"/>
      <c r="AA44" s="36" t="s">
        <v>189</v>
      </c>
      <c r="AB44" s="36"/>
      <c r="AC44" s="36" t="s">
        <v>189</v>
      </c>
      <c r="AD44" s="37"/>
      <c r="AE44" s="36" t="s">
        <v>928</v>
      </c>
      <c r="AF44" s="37"/>
      <c r="AG44" s="387" t="b">
        <f ca="1" t="shared" si="3"/>
        <v>0</v>
      </c>
      <c r="AH44" s="315">
        <f ca="1" t="shared" si="10"/>
      </c>
      <c r="AI44" s="360">
        <f ca="1" t="shared" si="11"/>
      </c>
      <c r="AJ44" s="315">
        <f ca="1" t="shared" si="4"/>
      </c>
      <c r="AK44" s="315">
        <f ca="1" t="shared" si="5"/>
      </c>
      <c r="AL44" s="315">
        <f ca="1" t="shared" si="6"/>
        <v>0</v>
      </c>
      <c r="AM44" s="315">
        <f ca="1" t="shared" si="7"/>
      </c>
      <c r="AN44" s="315">
        <f ca="1" t="shared" si="8"/>
      </c>
      <c r="AO44" s="315">
        <f ca="1" t="shared" si="9"/>
      </c>
      <c r="AP44" s="315" t="e">
        <f>CHOOSE(AH44,FALSE,Data!DV$2,Data!DV$2,Data!DV$2,FALSE,FALSE,Data!DV$2)</f>
        <v>#VALUE!</v>
      </c>
      <c r="AQ44" s="315" t="e">
        <f>CHOOSE(AH44,"Affaires",IF(Data!DP$2="agricole","Agricole","Affaires"),IF(Data!DP$2="Agricole","Industriel",Data!DP$2),IF(Data!DP$2="Agricole","Industriel",Data!DP$2),IF(Data!DP$2="Agricole","Agricole","Affaires"),IF(Data!DP$2="Transport","Transport","Affaires"),IF(Data!DP$2="Agricole","Industriel",Data!DP$2))</f>
        <v>#VALUE!</v>
      </c>
      <c r="AR44" s="315">
        <f ca="1">IF(C44="Gestion","1151000",IF(AND(C44="Émissions_Fugitives",D44="Optimisation réfrigération"),"1151210",IF(AND(C44="Conversion",D44="Bioénergies"),"1151240",IF(AND(C44="Conversion",D44="Solaires"),"1151202",INDEX(OFFSET(Type_Entreprise,,2,,),MATCH('1. Demande'!AI$76,Type_Entreprise,0))))))</f>
        <v>0</v>
      </c>
    </row>
    <row r="45" spans="1:44" ht="15.75" customHeight="1">
      <c r="A45" s="36"/>
      <c r="B45" s="37"/>
      <c r="C45" s="37" t="s">
        <v>189</v>
      </c>
      <c r="D45" s="37"/>
      <c r="E45" s="37" t="s">
        <v>189</v>
      </c>
      <c r="F45" s="37"/>
      <c r="G45" s="252">
        <f ca="1" t="shared" si="0"/>
      </c>
      <c r="H45" s="373"/>
      <c r="I45" s="254"/>
      <c r="J45" s="37"/>
      <c r="K45" s="271"/>
      <c r="L45" s="254"/>
      <c r="M45" s="269"/>
      <c r="N45" s="375"/>
      <c r="O45" s="253">
        <f ca="1" t="shared" si="1"/>
      </c>
      <c r="P45" s="256">
        <f ca="1" t="shared" si="2"/>
      </c>
      <c r="Q45" s="378">
        <v>0</v>
      </c>
      <c r="R45" s="378">
        <v>0</v>
      </c>
      <c r="S45" s="378">
        <v>0</v>
      </c>
      <c r="T45" s="379"/>
      <c r="U45" s="378"/>
      <c r="V45" s="36" t="s">
        <v>189</v>
      </c>
      <c r="W45" s="71"/>
      <c r="X45" s="71"/>
      <c r="Y45" s="382"/>
      <c r="Z45" s="382"/>
      <c r="AA45" s="36" t="s">
        <v>189</v>
      </c>
      <c r="AB45" s="36"/>
      <c r="AC45" s="36" t="s">
        <v>189</v>
      </c>
      <c r="AD45" s="37"/>
      <c r="AE45" s="36" t="s">
        <v>928</v>
      </c>
      <c r="AF45" s="37"/>
      <c r="AG45" s="387" t="b">
        <f ca="1" t="shared" si="3"/>
        <v>0</v>
      </c>
      <c r="AH45" s="315">
        <f ca="1" t="shared" si="10"/>
      </c>
      <c r="AI45" s="360">
        <f ca="1" t="shared" si="11"/>
      </c>
      <c r="AJ45" s="315">
        <f ca="1" t="shared" si="4"/>
      </c>
      <c r="AK45" s="315">
        <f ca="1" t="shared" si="5"/>
      </c>
      <c r="AL45" s="315">
        <f ca="1" t="shared" si="6"/>
        <v>0</v>
      </c>
      <c r="AM45" s="315">
        <f ca="1" t="shared" si="7"/>
      </c>
      <c r="AN45" s="315">
        <f ca="1" t="shared" si="8"/>
      </c>
      <c r="AO45" s="315">
        <f ca="1" t="shared" si="9"/>
      </c>
      <c r="AP45" s="315" t="e">
        <f>CHOOSE(AH45,FALSE,Data!DV$2,Data!DV$2,Data!DV$2,FALSE,FALSE,Data!DV$2)</f>
        <v>#VALUE!</v>
      </c>
      <c r="AQ45" s="315" t="e">
        <f>CHOOSE(AH45,"Affaires",IF(Data!DP$2="agricole","Agricole","Affaires"),IF(Data!DP$2="Agricole","Industriel",Data!DP$2),IF(Data!DP$2="Agricole","Industriel",Data!DP$2),IF(Data!DP$2="Agricole","Agricole","Affaires"),IF(Data!DP$2="Transport","Transport","Affaires"),IF(Data!DP$2="Agricole","Industriel",Data!DP$2))</f>
        <v>#VALUE!</v>
      </c>
      <c r="AR45" s="315">
        <f ca="1">IF(C45="Gestion","1151000",IF(AND(C45="Émissions_Fugitives",D45="Optimisation réfrigération"),"1151210",IF(AND(C45="Conversion",D45="Bioénergies"),"1151240",IF(AND(C45="Conversion",D45="Solaires"),"1151202",INDEX(OFFSET(Type_Entreprise,,2,,),MATCH('1. Demande'!AI$76,Type_Entreprise,0))))))</f>
        <v>0</v>
      </c>
    </row>
    <row r="46" spans="1:44" ht="15.75" customHeight="1">
      <c r="A46" s="36"/>
      <c r="B46" s="37"/>
      <c r="C46" s="37" t="s">
        <v>189</v>
      </c>
      <c r="D46" s="37"/>
      <c r="E46" s="37" t="s">
        <v>189</v>
      </c>
      <c r="F46" s="37"/>
      <c r="G46" s="252">
        <f ca="1" t="shared" si="0"/>
      </c>
      <c r="H46" s="373"/>
      <c r="I46" s="254"/>
      <c r="J46" s="37"/>
      <c r="K46" s="271"/>
      <c r="L46" s="254"/>
      <c r="M46" s="269"/>
      <c r="N46" s="375"/>
      <c r="O46" s="253">
        <f ca="1" t="shared" si="1"/>
      </c>
      <c r="P46" s="256">
        <f ca="1" t="shared" si="2"/>
      </c>
      <c r="Q46" s="378">
        <v>0</v>
      </c>
      <c r="R46" s="378">
        <v>0</v>
      </c>
      <c r="S46" s="378">
        <v>0</v>
      </c>
      <c r="T46" s="379"/>
      <c r="U46" s="378"/>
      <c r="V46" s="36" t="s">
        <v>189</v>
      </c>
      <c r="W46" s="71"/>
      <c r="X46" s="71"/>
      <c r="Y46" s="382"/>
      <c r="Z46" s="382"/>
      <c r="AA46" s="36" t="s">
        <v>189</v>
      </c>
      <c r="AB46" s="36"/>
      <c r="AC46" s="36" t="s">
        <v>189</v>
      </c>
      <c r="AD46" s="37"/>
      <c r="AE46" s="36" t="s">
        <v>928</v>
      </c>
      <c r="AF46" s="37"/>
      <c r="AG46" s="387" t="b">
        <f ca="1" t="shared" si="3"/>
        <v>0</v>
      </c>
      <c r="AH46" s="315">
        <f ca="1" t="shared" si="10"/>
      </c>
      <c r="AI46" s="360">
        <f ca="1" t="shared" si="11"/>
      </c>
      <c r="AJ46" s="315">
        <f ca="1" t="shared" si="4"/>
      </c>
      <c r="AK46" s="315">
        <f ca="1" t="shared" si="5"/>
      </c>
      <c r="AL46" s="315">
        <f ca="1" t="shared" si="6"/>
        <v>0</v>
      </c>
      <c r="AM46" s="315">
        <f ca="1" t="shared" si="7"/>
      </c>
      <c r="AN46" s="315">
        <f ca="1" t="shared" si="8"/>
      </c>
      <c r="AO46" s="315">
        <f ca="1" t="shared" si="9"/>
      </c>
      <c r="AP46" s="315" t="e">
        <f>CHOOSE(AH46,FALSE,Data!DV$2,Data!DV$2,Data!DV$2,FALSE,FALSE,Data!DV$2)</f>
        <v>#VALUE!</v>
      </c>
      <c r="AQ46" s="315" t="e">
        <f>CHOOSE(AH46,"Affaires",IF(Data!DP$2="agricole","Agricole","Affaires"),IF(Data!DP$2="Agricole","Industriel",Data!DP$2),IF(Data!DP$2="Agricole","Industriel",Data!DP$2),IF(Data!DP$2="Agricole","Agricole","Affaires"),IF(Data!DP$2="Transport","Transport","Affaires"),IF(Data!DP$2="Agricole","Industriel",Data!DP$2))</f>
        <v>#VALUE!</v>
      </c>
      <c r="AR46" s="315">
        <f ca="1">IF(C46="Gestion","1151000",IF(AND(C46="Émissions_Fugitives",D46="Optimisation réfrigération"),"1151210",IF(AND(C46="Conversion",D46="Bioénergies"),"1151240",IF(AND(C46="Conversion",D46="Solaires"),"1151202",INDEX(OFFSET(Type_Entreprise,,2,,),MATCH('1. Demande'!AI$76,Type_Entreprise,0))))))</f>
        <v>0</v>
      </c>
    </row>
    <row r="47" spans="1:44" ht="15.75" customHeight="1">
      <c r="A47" s="36"/>
      <c r="B47" s="37"/>
      <c r="C47" s="37" t="s">
        <v>189</v>
      </c>
      <c r="D47" s="37"/>
      <c r="E47" s="37" t="s">
        <v>189</v>
      </c>
      <c r="F47" s="37"/>
      <c r="G47" s="252">
        <f ca="1" t="shared" si="0"/>
      </c>
      <c r="H47" s="373"/>
      <c r="I47" s="254"/>
      <c r="J47" s="37"/>
      <c r="K47" s="271"/>
      <c r="L47" s="254"/>
      <c r="M47" s="269"/>
      <c r="N47" s="375"/>
      <c r="O47" s="253">
        <f ca="1" t="shared" si="1"/>
      </c>
      <c r="P47" s="256">
        <f ca="1" t="shared" si="2"/>
      </c>
      <c r="Q47" s="378">
        <v>0</v>
      </c>
      <c r="R47" s="378">
        <v>0</v>
      </c>
      <c r="S47" s="378">
        <v>0</v>
      </c>
      <c r="T47" s="379"/>
      <c r="U47" s="378"/>
      <c r="V47" s="36" t="s">
        <v>189</v>
      </c>
      <c r="W47" s="71"/>
      <c r="X47" s="71"/>
      <c r="Y47" s="382"/>
      <c r="Z47" s="382"/>
      <c r="AA47" s="36" t="s">
        <v>189</v>
      </c>
      <c r="AB47" s="36"/>
      <c r="AC47" s="36" t="s">
        <v>189</v>
      </c>
      <c r="AD47" s="37"/>
      <c r="AE47" s="36" t="s">
        <v>928</v>
      </c>
      <c r="AF47" s="59"/>
      <c r="AG47" s="387" t="b">
        <f ca="1" t="shared" si="3"/>
        <v>0</v>
      </c>
      <c r="AH47" s="315">
        <f ca="1" t="shared" si="10"/>
      </c>
      <c r="AI47" s="360">
        <f ca="1" t="shared" si="11"/>
      </c>
      <c r="AJ47" s="315">
        <f ca="1" t="shared" si="4"/>
      </c>
      <c r="AK47" s="315">
        <f ca="1" t="shared" si="5"/>
      </c>
      <c r="AL47" s="315">
        <f ca="1" t="shared" si="6"/>
        <v>0</v>
      </c>
      <c r="AM47" s="315">
        <f ca="1" t="shared" si="7"/>
      </c>
      <c r="AN47" s="315">
        <f ca="1" t="shared" si="8"/>
      </c>
      <c r="AO47" s="315">
        <f ca="1" t="shared" si="9"/>
      </c>
      <c r="AP47" s="315" t="e">
        <f>CHOOSE(AH47,FALSE,Data!DV$2,Data!DV$2,Data!DV$2,FALSE,FALSE,Data!DV$2)</f>
        <v>#VALUE!</v>
      </c>
      <c r="AQ47" s="315" t="e">
        <f>CHOOSE(AH47,"Affaires",IF(Data!DP$2="agricole","Agricole","Affaires"),IF(Data!DP$2="Agricole","Industriel",Data!DP$2),IF(Data!DP$2="Agricole","Industriel",Data!DP$2),IF(Data!DP$2="Agricole","Agricole","Affaires"),IF(Data!DP$2="Transport","Transport","Affaires"),IF(Data!DP$2="Agricole","Industriel",Data!DP$2))</f>
        <v>#VALUE!</v>
      </c>
      <c r="AR47" s="315">
        <f ca="1">IF(C47="Gestion","1151000",IF(AND(C47="Émissions_Fugitives",D47="Optimisation réfrigération"),"1151210",IF(AND(C47="Conversion",D47="Bioénergies"),"1151240",IF(AND(C47="Conversion",D47="Solaires"),"1151202",INDEX(OFFSET(Type_Entreprise,,2,,),MATCH('1. Demande'!AI$76,Type_Entreprise,0))))))</f>
        <v>0</v>
      </c>
    </row>
    <row r="48" spans="1:44" ht="15.75" customHeight="1">
      <c r="A48" s="36"/>
      <c r="B48" s="37"/>
      <c r="C48" s="37" t="s">
        <v>189</v>
      </c>
      <c r="D48" s="37"/>
      <c r="E48" s="37" t="s">
        <v>189</v>
      </c>
      <c r="F48" s="37"/>
      <c r="G48" s="252">
        <f ca="1" t="shared" si="0"/>
      </c>
      <c r="H48" s="373"/>
      <c r="I48" s="254"/>
      <c r="J48" s="37"/>
      <c r="K48" s="271"/>
      <c r="L48" s="254"/>
      <c r="M48" s="269"/>
      <c r="N48" s="375"/>
      <c r="O48" s="253">
        <f ca="1" t="shared" si="1"/>
      </c>
      <c r="P48" s="256">
        <f ca="1" t="shared" si="2"/>
      </c>
      <c r="Q48" s="378">
        <v>0</v>
      </c>
      <c r="R48" s="378">
        <v>0</v>
      </c>
      <c r="S48" s="378">
        <v>0</v>
      </c>
      <c r="T48" s="379"/>
      <c r="U48" s="378"/>
      <c r="V48" s="36" t="s">
        <v>189</v>
      </c>
      <c r="W48" s="71"/>
      <c r="X48" s="71"/>
      <c r="Y48" s="382"/>
      <c r="Z48" s="382"/>
      <c r="AA48" s="36" t="s">
        <v>189</v>
      </c>
      <c r="AB48" s="36"/>
      <c r="AC48" s="36" t="s">
        <v>189</v>
      </c>
      <c r="AD48" s="37"/>
      <c r="AE48" s="36" t="s">
        <v>928</v>
      </c>
      <c r="AF48" s="37"/>
      <c r="AG48" s="387" t="b">
        <f ca="1" t="shared" si="3"/>
        <v>0</v>
      </c>
      <c r="AH48" s="315">
        <f ca="1" t="shared" si="10"/>
      </c>
      <c r="AI48" s="360">
        <f ca="1" t="shared" si="11"/>
      </c>
      <c r="AJ48" s="315">
        <f ca="1" t="shared" si="4"/>
      </c>
      <c r="AK48" s="315">
        <f ca="1" t="shared" si="5"/>
      </c>
      <c r="AL48" s="315">
        <f ca="1" t="shared" si="6"/>
        <v>0</v>
      </c>
      <c r="AM48" s="315">
        <f ca="1" t="shared" si="7"/>
      </c>
      <c r="AN48" s="315">
        <f ca="1" t="shared" si="8"/>
      </c>
      <c r="AO48" s="315">
        <f ca="1" t="shared" si="9"/>
      </c>
      <c r="AP48" s="315" t="e">
        <f>CHOOSE(AH48,FALSE,Data!DV$2,Data!DV$2,Data!DV$2,FALSE,FALSE,Data!DV$2)</f>
        <v>#VALUE!</v>
      </c>
      <c r="AQ48" s="315" t="e">
        <f>CHOOSE(AH48,"Affaires",IF(Data!DP$2="agricole","Agricole","Affaires"),IF(Data!DP$2="Agricole","Industriel",Data!DP$2),IF(Data!DP$2="Agricole","Industriel",Data!DP$2),IF(Data!DP$2="Agricole","Agricole","Affaires"),IF(Data!DP$2="Transport","Transport","Affaires"),IF(Data!DP$2="Agricole","Industriel",Data!DP$2))</f>
        <v>#VALUE!</v>
      </c>
      <c r="AR48" s="315">
        <f ca="1">IF(C48="Gestion","1151000",IF(AND(C48="Émissions_Fugitives",D48="Optimisation réfrigération"),"1151210",IF(AND(C48="Conversion",D48="Bioénergies"),"1151240",IF(AND(C48="Conversion",D48="Solaires"),"1151202",INDEX(OFFSET(Type_Entreprise,,2,,),MATCH('1. Demande'!AI$76,Type_Entreprise,0))))))</f>
        <v>0</v>
      </c>
    </row>
    <row r="49" spans="1:44" ht="15.75" customHeight="1" thickBot="1">
      <c r="A49" s="38"/>
      <c r="B49" s="39"/>
      <c r="C49" s="37" t="s">
        <v>189</v>
      </c>
      <c r="D49" s="37"/>
      <c r="E49" s="37" t="s">
        <v>189</v>
      </c>
      <c r="F49" s="37"/>
      <c r="G49" s="252">
        <f ca="1" t="shared" si="0"/>
      </c>
      <c r="H49" s="373"/>
      <c r="I49" s="255"/>
      <c r="J49" s="39"/>
      <c r="K49" s="272"/>
      <c r="L49" s="255"/>
      <c r="M49" s="270"/>
      <c r="N49" s="376"/>
      <c r="O49" s="253">
        <f ca="1" t="shared" si="1"/>
      </c>
      <c r="P49" s="256">
        <f ca="1" t="shared" si="2"/>
      </c>
      <c r="Q49" s="380">
        <v>0</v>
      </c>
      <c r="R49" s="380">
        <v>0</v>
      </c>
      <c r="S49" s="378">
        <v>0</v>
      </c>
      <c r="T49" s="379"/>
      <c r="U49" s="380"/>
      <c r="V49" s="36" t="s">
        <v>189</v>
      </c>
      <c r="W49" s="72"/>
      <c r="X49" s="72"/>
      <c r="Y49" s="383"/>
      <c r="Z49" s="383"/>
      <c r="AA49" s="36" t="s">
        <v>189</v>
      </c>
      <c r="AB49" s="38"/>
      <c r="AC49" s="36" t="s">
        <v>189</v>
      </c>
      <c r="AD49" s="39"/>
      <c r="AE49" s="36" t="s">
        <v>928</v>
      </c>
      <c r="AF49" s="39"/>
      <c r="AG49" s="387" t="b">
        <f ca="1" t="shared" si="3"/>
        <v>0</v>
      </c>
      <c r="AH49" s="315">
        <f ca="1" t="shared" si="10"/>
      </c>
      <c r="AI49" s="360">
        <f ca="1" t="shared" si="11"/>
      </c>
      <c r="AJ49" s="315">
        <f ca="1" t="shared" si="4"/>
      </c>
      <c r="AK49" s="315">
        <f ca="1" t="shared" si="5"/>
      </c>
      <c r="AL49" s="315">
        <f ca="1" t="shared" si="6"/>
        <v>0</v>
      </c>
      <c r="AM49" s="315">
        <f ca="1" t="shared" si="7"/>
      </c>
      <c r="AN49" s="315">
        <f ca="1" t="shared" si="8"/>
      </c>
      <c r="AO49" s="315">
        <f ca="1" t="shared" si="9"/>
      </c>
      <c r="AP49" s="315" t="e">
        <f>CHOOSE(AH49,FALSE,Data!DV$2,Data!DV$2,Data!DV$2,FALSE,FALSE,Data!DV$2)</f>
        <v>#VALUE!</v>
      </c>
      <c r="AQ49" s="315" t="e">
        <f>CHOOSE(AH49,"Affaires",IF(Data!DP$2="agricole","Agricole","Affaires"),IF(Data!DP$2="Agricole","Industriel",Data!DP$2),IF(Data!DP$2="Agricole","Industriel",Data!DP$2),IF(Data!DP$2="Agricole","Agricole","Affaires"),IF(Data!DP$2="Transport","Transport","Affaires"),IF(Data!DP$2="Agricole","Industriel",Data!DP$2))</f>
        <v>#VALUE!</v>
      </c>
      <c r="AR49" s="315">
        <f ca="1">IF(C49="Gestion","1151000",IF(AND(C49="Émissions_Fugitives",D49="Optimisation réfrigération"),"1151210",IF(AND(C49="Conversion",D49="Bioénergies"),"1151240",IF(AND(C49="Conversion",D49="Solaires"),"1151202",INDEX(OFFSET(Type_Entreprise,,2,,),MATCH('1. Demande'!AI$76,Type_Entreprise,0))))))</f>
        <v>0</v>
      </c>
    </row>
    <row r="50" spans="1:33" ht="13.5" thickTop="1">
      <c r="A50" s="454"/>
      <c r="B50" s="455"/>
      <c r="C50" s="60" t="s">
        <v>126</v>
      </c>
      <c r="D50" s="454"/>
      <c r="E50" s="454"/>
      <c r="F50" s="455"/>
      <c r="G50" s="455"/>
      <c r="H50" s="455"/>
      <c r="I50" s="456"/>
      <c r="J50" s="456"/>
      <c r="K50" s="456"/>
      <c r="L50" s="456"/>
      <c r="M50" s="457"/>
      <c r="N50" s="377">
        <f aca="true" t="shared" si="12" ref="N50:U50">SUM(N16:N49)</f>
        <v>0</v>
      </c>
      <c r="O50" s="257">
        <f t="shared" si="12"/>
        <v>0</v>
      </c>
      <c r="P50" s="258">
        <f t="shared" si="12"/>
        <v>0</v>
      </c>
      <c r="Q50" s="381">
        <f t="shared" si="12"/>
        <v>0</v>
      </c>
      <c r="R50" s="381">
        <f t="shared" si="12"/>
        <v>0</v>
      </c>
      <c r="S50" s="381">
        <f t="shared" si="12"/>
        <v>0</v>
      </c>
      <c r="T50" s="381">
        <f t="shared" si="12"/>
        <v>0</v>
      </c>
      <c r="U50" s="381">
        <f t="shared" si="12"/>
        <v>0</v>
      </c>
      <c r="V50" s="455"/>
      <c r="W50" s="455"/>
      <c r="X50" s="455"/>
      <c r="Y50" s="455"/>
      <c r="Z50" s="455"/>
      <c r="AA50" s="458"/>
      <c r="AB50" s="458"/>
      <c r="AC50" s="458"/>
      <c r="AD50" s="455"/>
      <c r="AE50" s="459"/>
      <c r="AF50" s="455"/>
      <c r="AG50" s="388"/>
    </row>
    <row r="51" spans="1:44" s="45" customFormat="1" ht="12.75">
      <c r="A51" s="260"/>
      <c r="B51" s="261"/>
      <c r="C51" s="260"/>
      <c r="D51" s="260"/>
      <c r="E51" s="260"/>
      <c r="F51" s="261"/>
      <c r="G51" s="261"/>
      <c r="H51" s="261"/>
      <c r="I51" s="326"/>
      <c r="J51" s="326"/>
      <c r="K51" s="326"/>
      <c r="L51" s="326"/>
      <c r="M51" s="262"/>
      <c r="N51" s="262"/>
      <c r="O51" s="263"/>
      <c r="P51" s="264"/>
      <c r="Q51" s="262"/>
      <c r="R51" s="262"/>
      <c r="S51" s="262"/>
      <c r="T51" s="262"/>
      <c r="U51" s="262"/>
      <c r="V51" s="261"/>
      <c r="W51" s="261"/>
      <c r="X51" s="261"/>
      <c r="Y51" s="261"/>
      <c r="Z51" s="261"/>
      <c r="AA51" s="265"/>
      <c r="AB51" s="265"/>
      <c r="AC51" s="265"/>
      <c r="AD51" s="261"/>
      <c r="AE51" s="266"/>
      <c r="AF51" s="261"/>
      <c r="AG51" s="261"/>
      <c r="AH51" s="361"/>
      <c r="AI51" s="361"/>
      <c r="AJ51" s="361"/>
      <c r="AK51" s="361"/>
      <c r="AL51" s="361"/>
      <c r="AM51" s="361"/>
      <c r="AN51" s="361"/>
      <c r="AO51" s="361"/>
      <c r="AP51" s="361"/>
      <c r="AQ51" s="361"/>
      <c r="AR51" s="361"/>
    </row>
    <row r="52" spans="1:43" ht="15.75" customHeight="1">
      <c r="A52" s="482" t="s">
        <v>971</v>
      </c>
      <c r="B52" s="29"/>
      <c r="C52" s="29"/>
      <c r="D52" s="29"/>
      <c r="E52" s="29"/>
      <c r="F52" s="29"/>
      <c r="G52" s="29"/>
      <c r="H52" s="29"/>
      <c r="I52" s="29"/>
      <c r="J52" s="29"/>
      <c r="K52" s="29"/>
      <c r="L52" s="29"/>
      <c r="M52" s="29"/>
      <c r="N52" s="29"/>
      <c r="O52" s="29"/>
      <c r="P52" s="29"/>
      <c r="Q52" s="29"/>
      <c r="R52" s="29"/>
      <c r="S52" s="29"/>
      <c r="T52" s="29"/>
      <c r="U52" s="29"/>
      <c r="V52" s="29"/>
      <c r="W52" s="481"/>
      <c r="X52" s="29"/>
      <c r="Y52" s="29"/>
      <c r="Z52" s="29"/>
      <c r="AA52" s="29"/>
      <c r="AB52" s="29"/>
      <c r="AC52" s="29"/>
      <c r="AD52" s="29"/>
      <c r="AE52" s="1020">
        <f>Instructions!J45</f>
        <v>45364</v>
      </c>
      <c r="AF52" s="1020"/>
      <c r="AG52" s="29"/>
      <c r="AH52" s="29"/>
      <c r="AI52" s="29"/>
      <c r="AJ52" s="29"/>
      <c r="AK52" s="29"/>
      <c r="AL52" s="29"/>
      <c r="AM52" s="29"/>
      <c r="AN52" s="29"/>
      <c r="AO52" s="591" t="e">
        <f>Instructions!#REF!</f>
        <v>#REF!</v>
      </c>
      <c r="AP52" s="591"/>
      <c r="AQ52" s="591"/>
    </row>
    <row r="53" spans="1:43" ht="6" customHeight="1">
      <c r="A53" s="538"/>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8"/>
    </row>
    <row r="54" spans="1:33" ht="12.75">
      <c r="A54" s="439"/>
      <c r="B54" s="58"/>
      <c r="F54" s="58"/>
      <c r="G54" s="58"/>
      <c r="H54" s="58"/>
      <c r="I54" s="58"/>
      <c r="J54" s="58"/>
      <c r="K54" s="58"/>
      <c r="L54" s="58"/>
      <c r="M54" s="58"/>
      <c r="N54" s="58"/>
      <c r="O54" s="58"/>
      <c r="P54" s="58"/>
      <c r="Q54" s="58"/>
      <c r="R54" s="106"/>
      <c r="S54" s="58"/>
      <c r="T54" s="58"/>
      <c r="U54" s="58"/>
      <c r="V54" s="106"/>
      <c r="W54" s="62"/>
      <c r="X54" s="62"/>
      <c r="Y54" s="62"/>
      <c r="Z54" s="62"/>
      <c r="AA54" s="62"/>
      <c r="AB54" s="62"/>
      <c r="AC54" s="61"/>
      <c r="AD54" s="62"/>
      <c r="AE54" s="62"/>
      <c r="AF54" s="62"/>
      <c r="AG54" s="62"/>
    </row>
    <row r="55" spans="1:33" ht="12.75">
      <c r="A55" s="61"/>
      <c r="J55" s="58"/>
      <c r="K55" s="58"/>
      <c r="L55" s="58"/>
      <c r="M55" s="58"/>
      <c r="N55" s="58"/>
      <c r="O55" s="58"/>
      <c r="P55" s="58"/>
      <c r="Q55" s="58"/>
      <c r="R55" s="106"/>
      <c r="S55" s="58"/>
      <c r="T55" s="58"/>
      <c r="U55" s="58"/>
      <c r="V55" s="106"/>
      <c r="W55" s="63"/>
      <c r="X55" s="63"/>
      <c r="Y55" s="63"/>
      <c r="Z55" s="63"/>
      <c r="AA55" s="63"/>
      <c r="AB55" s="63"/>
      <c r="AC55" s="61"/>
      <c r="AD55" s="63"/>
      <c r="AE55" s="63"/>
      <c r="AF55" s="63"/>
      <c r="AG55" s="63"/>
    </row>
    <row r="56" spans="1:33" ht="12.75">
      <c r="A56" s="61"/>
      <c r="B56" s="30"/>
      <c r="F56" s="30"/>
      <c r="G56" s="30"/>
      <c r="H56" s="30"/>
      <c r="J56" s="58"/>
      <c r="K56" s="58"/>
      <c r="L56" s="58"/>
      <c r="M56" s="58"/>
      <c r="N56" s="58"/>
      <c r="O56" s="58"/>
      <c r="P56" s="58"/>
      <c r="Q56" s="58"/>
      <c r="S56" s="58"/>
      <c r="T56" s="58"/>
      <c r="U56" s="58"/>
      <c r="V56" s="106"/>
      <c r="W56" s="63"/>
      <c r="X56" s="63"/>
      <c r="Y56" s="63"/>
      <c r="Z56" s="63"/>
      <c r="AA56" s="63"/>
      <c r="AB56" s="63"/>
      <c r="AC56" s="61"/>
      <c r="AD56" s="63"/>
      <c r="AE56" s="63"/>
      <c r="AF56" s="63"/>
      <c r="AG56" s="63"/>
    </row>
    <row r="57" spans="1:33" ht="12.75">
      <c r="A57" s="61"/>
      <c r="B57" s="35"/>
      <c r="F57" s="35"/>
      <c r="G57" s="35"/>
      <c r="H57" s="35"/>
      <c r="I57" s="30"/>
      <c r="J57" s="58"/>
      <c r="K57" s="58"/>
      <c r="L57" s="58"/>
      <c r="M57" s="58"/>
      <c r="N57" s="58"/>
      <c r="O57" s="58"/>
      <c r="P57" s="58"/>
      <c r="Q57" s="58"/>
      <c r="S57" s="58"/>
      <c r="T57" s="58"/>
      <c r="U57" s="58"/>
      <c r="V57" s="106"/>
      <c r="W57" s="58"/>
      <c r="X57" s="58"/>
      <c r="Y57" s="58"/>
      <c r="Z57" s="58"/>
      <c r="AA57" s="58"/>
      <c r="AB57" s="64"/>
      <c r="AC57" s="64"/>
      <c r="AD57" s="64"/>
      <c r="AE57" s="58"/>
      <c r="AF57" s="58"/>
      <c r="AG57" s="58"/>
    </row>
    <row r="58" spans="1:33" ht="12.75">
      <c r="A58" s="438"/>
      <c r="J58" s="58"/>
      <c r="K58" s="58"/>
      <c r="L58" s="58"/>
      <c r="M58" s="58"/>
      <c r="N58" s="58"/>
      <c r="O58" s="58"/>
      <c r="P58" s="58"/>
      <c r="Q58" s="58"/>
      <c r="S58" s="58"/>
      <c r="T58" s="58"/>
      <c r="U58" s="58"/>
      <c r="W58" s="58"/>
      <c r="X58" s="58"/>
      <c r="Y58" s="58"/>
      <c r="Z58" s="58"/>
      <c r="AA58" s="58"/>
      <c r="AB58" s="64"/>
      <c r="AC58" s="64"/>
      <c r="AD58" s="64"/>
      <c r="AE58" s="58"/>
      <c r="AF58" s="58"/>
      <c r="AG58" s="58"/>
    </row>
    <row r="59" spans="10:33" ht="12.75">
      <c r="J59" s="61"/>
      <c r="K59" s="58"/>
      <c r="L59" s="58"/>
      <c r="M59" s="58"/>
      <c r="N59" s="58"/>
      <c r="O59" s="58"/>
      <c r="P59" s="58"/>
      <c r="Q59" s="58"/>
      <c r="S59" s="58"/>
      <c r="T59" s="58"/>
      <c r="U59" s="58"/>
      <c r="W59" s="58"/>
      <c r="X59" s="58"/>
      <c r="Y59" s="58"/>
      <c r="Z59" s="58"/>
      <c r="AA59" s="58"/>
      <c r="AB59" s="64"/>
      <c r="AC59" s="64"/>
      <c r="AD59" s="64"/>
      <c r="AE59" s="58"/>
      <c r="AF59" s="58"/>
      <c r="AG59" s="58"/>
    </row>
  </sheetData>
  <sheetProtection password="E71A" sheet="1" objects="1" scenarios="1"/>
  <mergeCells count="42">
    <mergeCell ref="H13:H14"/>
    <mergeCell ref="J13:J14"/>
    <mergeCell ref="Z12:Z14"/>
    <mergeCell ref="AC12:AC14"/>
    <mergeCell ref="W13:W14"/>
    <mergeCell ref="U12:V12"/>
    <mergeCell ref="T13:T14"/>
    <mergeCell ref="Y12:Y14"/>
    <mergeCell ref="L13:L14"/>
    <mergeCell ref="A12:A14"/>
    <mergeCell ref="B12:B14"/>
    <mergeCell ref="F13:F14"/>
    <mergeCell ref="I13:I14"/>
    <mergeCell ref="F12:K12"/>
    <mergeCell ref="X13:X14"/>
    <mergeCell ref="P13:P14"/>
    <mergeCell ref="Q13:S13"/>
    <mergeCell ref="O13:O14"/>
    <mergeCell ref="L12:P12"/>
    <mergeCell ref="AC11:AF11"/>
    <mergeCell ref="Q12:T12"/>
    <mergeCell ref="AF12:AF14"/>
    <mergeCell ref="AB12:AB14"/>
    <mergeCell ref="AD12:AD14"/>
    <mergeCell ref="W12:X12"/>
    <mergeCell ref="AO52:AQ52"/>
    <mergeCell ref="AE52:AF52"/>
    <mergeCell ref="AE12:AE14"/>
    <mergeCell ref="M13:M14"/>
    <mergeCell ref="U13:U14"/>
    <mergeCell ref="V13:V14"/>
    <mergeCell ref="AA12:AA14"/>
    <mergeCell ref="C8:G8"/>
    <mergeCell ref="C9:D9"/>
    <mergeCell ref="C12:C14"/>
    <mergeCell ref="K13:K14"/>
    <mergeCell ref="AB8:AF8"/>
    <mergeCell ref="AB9:AC9"/>
    <mergeCell ref="E12:E14"/>
    <mergeCell ref="D12:D14"/>
    <mergeCell ref="N13:N14"/>
    <mergeCell ref="G13:G14"/>
  </mergeCells>
  <conditionalFormatting sqref="P16:P49">
    <cfRule type="expression" priority="1" dxfId="22" stopIfTrue="1">
      <formula>IF(AND(C16="OPTER",P16&lt;INDEX(OFFSET(INDIRECT($C16),,1,,),MATCH(D16,INDIRECT($C16),0))),TRUE,FALSE)</formula>
    </cfRule>
  </conditionalFormatting>
  <conditionalFormatting sqref="E16:E49">
    <cfRule type="expression" priority="2" dxfId="0" stopIfTrue="1">
      <formula>IF(AND(L16="",E16="Choisir…"),TRUE,FALSE)</formula>
    </cfRule>
    <cfRule type="expression" priority="3" dxfId="4" stopIfTrue="1">
      <formula>IF(AND(L16&lt;&gt;"",F16="",E16="Choisir…"),TRUE,FALSE)</formula>
    </cfRule>
  </conditionalFormatting>
  <conditionalFormatting sqref="F16:F49">
    <cfRule type="expression" priority="4" dxfId="0" stopIfTrue="1">
      <formula>IF(AND(L16="",F16=""),TRUE,FALSE)</formula>
    </cfRule>
    <cfRule type="expression" priority="5" dxfId="4" stopIfTrue="1">
      <formula>IF(AND(L16&lt;&gt;"",F16=""),TRUE,FALSE)</formula>
    </cfRule>
  </conditionalFormatting>
  <conditionalFormatting sqref="H16:H49">
    <cfRule type="expression" priority="6" dxfId="4" stopIfTrue="1">
      <formula>IF(AND(E16="Énergie",H16="",IF(F16&lt;&gt;"",INDEX(OFFSET(Énergie,,8,,),MATCH(F16,Énergie,0))&lt;&gt;"",FALSE)),TRUE,FALSE)</formula>
    </cfRule>
    <cfRule type="expression" priority="7" dxfId="3" stopIfTrue="1">
      <formula>IF(AND(E16="Énergie",H16&lt;&gt;"",IF(F16&lt;&gt;"",INDEX(OFFSET(Énergie,,8,,),MATCH(F16,Énergie,0))&lt;&gt;"",FALSE)),TRUE,FALSE)</formula>
    </cfRule>
    <cfRule type="expression" priority="8" dxfId="2" stopIfTrue="1">
      <formula>IF(OR(E16&lt;&gt;"Énergie",AND(E16="Énergie",IF(F16&lt;&gt;"",INDEX(OFFSET(Énergie,,8,,),MATCH(F16,Énergie,0))&lt;&gt;"",FALSE))),TRUE,FALSE)</formula>
    </cfRule>
  </conditionalFormatting>
  <conditionalFormatting sqref="AA16:AA49 V16:V49 C16:C49">
    <cfRule type="cellIs" priority="9" dxfId="0" operator="equal" stopIfTrue="1">
      <formula>"Choisir…"</formula>
    </cfRule>
  </conditionalFormatting>
  <conditionalFormatting sqref="AC16:AC49">
    <cfRule type="cellIs" priority="10" dxfId="0" operator="equal" stopIfTrue="1">
      <formula>"choisir…"</formula>
    </cfRule>
  </conditionalFormatting>
  <conditionalFormatting sqref="D16:D49">
    <cfRule type="cellIs" priority="11" dxfId="0" operator="equal" stopIfTrue="1">
      <formula>""</formula>
    </cfRule>
  </conditionalFormatting>
  <conditionalFormatting sqref="AE16:AE49">
    <cfRule type="cellIs" priority="12" dxfId="0" operator="equal" stopIfTrue="1">
      <formula>"Non"</formula>
    </cfRule>
  </conditionalFormatting>
  <dataValidations count="8">
    <dataValidation type="list" allowBlank="1" showInputMessage="1" showErrorMessage="1" sqref="V16:V49">
      <formula1>Fin_Autre</formula1>
    </dataValidation>
    <dataValidation type="list" allowBlank="1" showInputMessage="1" showErrorMessage="1" sqref="AE16:AE49">
      <formula1>Aide_dem</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AA16:AA49">
      <formula1>Recom</formula1>
    </dataValidation>
    <dataValidation type="list" allowBlank="1" showInputMessage="1" showErrorMessage="1" sqref="AC16:AC49">
      <formula1>Action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scale="54" r:id="rId4"/>
  <headerFooter>
    <oddFooter>&amp;L&amp;"Arial Narrow,Gras"&amp;8Ministère de l’Environnement, de la Lutte contre les changements climatiques, de la Faune et des Parcs&amp;R&amp;"Arial Narrow,Normal"&amp;8 2023-05-25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5">
    <pageSetUpPr fitToPage="1"/>
  </sheetPr>
  <dimension ref="A3:AI201"/>
  <sheetViews>
    <sheetView showGridLines="0" showRowColHeaders="0" showOutlineSymbols="0" zoomScale="80" zoomScaleNormal="80" zoomScalePageLayoutView="0" workbookViewId="0" topLeftCell="A1">
      <selection activeCell="A17" sqref="A17"/>
    </sheetView>
  </sheetViews>
  <sheetFormatPr defaultColWidth="11.421875" defaultRowHeight="12.75"/>
  <cols>
    <col min="1" max="1" width="26.8515625" style="120" customWidth="1"/>
    <col min="2" max="2" width="40.57421875" style="120" customWidth="1"/>
    <col min="3" max="4" width="16.140625" style="120" customWidth="1"/>
    <col min="5" max="6" width="16.140625" style="175" customWidth="1"/>
    <col min="7" max="7" width="16.140625" style="120" customWidth="1"/>
    <col min="8" max="9" width="16.140625" style="175" customWidth="1"/>
    <col min="10" max="10" width="17.421875" style="175" customWidth="1"/>
    <col min="11" max="12" width="16.140625" style="175" customWidth="1"/>
    <col min="13" max="13" width="10.57421875" style="389" customWidth="1"/>
    <col min="14" max="14" width="10.57421875" style="176" customWidth="1"/>
    <col min="15" max="15" width="16.140625" style="175" customWidth="1"/>
    <col min="16" max="16" width="10.57421875" style="389" customWidth="1"/>
    <col min="17" max="17" width="10.57421875" style="176" customWidth="1"/>
    <col min="18" max="18" width="16.140625" style="175" customWidth="1"/>
    <col min="19" max="19" width="37.57421875" style="120" customWidth="1"/>
    <col min="20" max="16384" width="11.421875" style="120" customWidth="1"/>
  </cols>
  <sheetData>
    <row r="1" ht="12.75"/>
    <row r="2" ht="12.75"/>
    <row r="3" spans="2:29" ht="39.75" customHeight="1">
      <c r="B3" s="444"/>
      <c r="U3" s="448"/>
      <c r="V3" s="1051" t="s">
        <v>706</v>
      </c>
      <c r="W3" s="1051"/>
      <c r="X3" s="1051"/>
      <c r="Y3" s="1051" t="s">
        <v>707</v>
      </c>
      <c r="Z3" s="1051"/>
      <c r="AA3" s="1051"/>
      <c r="AB3" s="429"/>
      <c r="AC3" s="429"/>
    </row>
    <row r="4" spans="21:29" ht="12.75" customHeight="1">
      <c r="U4" s="448"/>
      <c r="V4" s="448" t="s">
        <v>703</v>
      </c>
      <c r="W4" s="448" t="s">
        <v>704</v>
      </c>
      <c r="X4" s="448" t="s">
        <v>705</v>
      </c>
      <c r="Y4" s="448" t="s">
        <v>703</v>
      </c>
      <c r="Z4" s="448" t="s">
        <v>704</v>
      </c>
      <c r="AA4" s="448" t="s">
        <v>705</v>
      </c>
      <c r="AB4" s="429"/>
      <c r="AC4" s="429"/>
    </row>
    <row r="5" spans="1:29" ht="24" customHeight="1">
      <c r="A5" s="177"/>
      <c r="U5" s="448" t="str">
        <f>A16</f>
        <v>A. Acquisition équipement/matériel</v>
      </c>
      <c r="V5" s="449">
        <f>E28</f>
        <v>0</v>
      </c>
      <c r="W5" s="449">
        <f>F28</f>
        <v>0</v>
      </c>
      <c r="X5" s="449">
        <f aca="true" t="shared" si="0" ref="X5:X10">V5+W5</f>
        <v>0</v>
      </c>
      <c r="Y5" s="449">
        <f>H28</f>
        <v>0</v>
      </c>
      <c r="Z5" s="449">
        <f>I28</f>
        <v>0</v>
      </c>
      <c r="AA5" s="449">
        <f aca="true" t="shared" si="1" ref="AA5:AA10">Y5+Z5</f>
        <v>0</v>
      </c>
      <c r="AB5" s="429"/>
      <c r="AC5" s="429"/>
    </row>
    <row r="6" spans="1:29" ht="15" customHeight="1">
      <c r="A6" s="177"/>
      <c r="U6" s="448" t="str">
        <f>A30</f>
        <v>B. Acquisition de l'équipement de mesurage</v>
      </c>
      <c r="V6" s="449">
        <f>E40</f>
        <v>0</v>
      </c>
      <c r="W6" s="449">
        <f>F40</f>
        <v>0</v>
      </c>
      <c r="X6" s="449">
        <f t="shared" si="0"/>
        <v>0</v>
      </c>
      <c r="Y6" s="449">
        <f>H40</f>
        <v>0</v>
      </c>
      <c r="Z6" s="449">
        <f>I40</f>
        <v>0</v>
      </c>
      <c r="AA6" s="449">
        <f t="shared" si="1"/>
        <v>0</v>
      </c>
      <c r="AB6" s="429"/>
      <c r="AC6" s="429"/>
    </row>
    <row r="7" spans="1:29" ht="12.75">
      <c r="A7" s="446" t="s">
        <v>1144</v>
      </c>
      <c r="B7" s="1069">
        <f>IF('1. Demande'!H11="","",'1. Demande'!H11)</f>
      </c>
      <c r="C7" s="1069"/>
      <c r="D7" s="178"/>
      <c r="E7" s="179"/>
      <c r="F7" s="179"/>
      <c r="G7" s="178"/>
      <c r="H7" s="180"/>
      <c r="I7" s="180"/>
      <c r="K7" s="241" t="s">
        <v>256</v>
      </c>
      <c r="L7" s="1016" t="str">
        <f>IF('2. Plan d''implantation'!AB8="","",'2. Plan d''implantation'!AB8)</f>
        <v> </v>
      </c>
      <c r="M7" s="1016"/>
      <c r="N7" s="1016"/>
      <c r="O7" s="1016"/>
      <c r="P7" s="1016"/>
      <c r="U7" s="448" t="str">
        <f>A42</f>
        <v>C. Mesurage, quantification et vérification</v>
      </c>
      <c r="V7" s="449">
        <f>E48</f>
        <v>0</v>
      </c>
      <c r="W7" s="449">
        <f>F48</f>
        <v>0</v>
      </c>
      <c r="X7" s="449">
        <f t="shared" si="0"/>
        <v>0</v>
      </c>
      <c r="Y7" s="449">
        <f>H48</f>
        <v>0</v>
      </c>
      <c r="Z7" s="449">
        <f>I48</f>
        <v>0</v>
      </c>
      <c r="AA7" s="449">
        <f t="shared" si="1"/>
        <v>0</v>
      </c>
      <c r="AB7" s="429"/>
      <c r="AC7" s="429"/>
    </row>
    <row r="8" spans="1:29" ht="12.75">
      <c r="A8" s="446" t="s">
        <v>1149</v>
      </c>
      <c r="B8" s="949">
        <f>IF('2. Plan d''implantation'!C9="","",'2. Plan d''implantation'!C9)</f>
      </c>
      <c r="C8" s="949"/>
      <c r="D8" s="178"/>
      <c r="E8" s="179"/>
      <c r="F8" s="179"/>
      <c r="G8" s="178"/>
      <c r="H8" s="181"/>
      <c r="I8" s="181"/>
      <c r="O8" s="180"/>
      <c r="U8" s="448" t="str">
        <f>A50</f>
        <v>D. Ingénierie ou services professionnels</v>
      </c>
      <c r="V8" s="449">
        <f>E56</f>
        <v>0</v>
      </c>
      <c r="W8" s="449">
        <f>F56</f>
        <v>0</v>
      </c>
      <c r="X8" s="449">
        <f t="shared" si="0"/>
        <v>0</v>
      </c>
      <c r="Y8" s="449">
        <f>H56</f>
        <v>0</v>
      </c>
      <c r="Z8" s="449">
        <f>I56</f>
        <v>0</v>
      </c>
      <c r="AA8" s="449">
        <f t="shared" si="1"/>
        <v>0</v>
      </c>
      <c r="AB8" s="429"/>
      <c r="AC8" s="429"/>
    </row>
    <row r="9" spans="1:29" ht="12.75">
      <c r="A9" s="240" t="s">
        <v>935</v>
      </c>
      <c r="B9" s="949"/>
      <c r="C9" s="949"/>
      <c r="D9" s="178"/>
      <c r="E9" s="179"/>
      <c r="F9" s="179"/>
      <c r="G9" s="178"/>
      <c r="H9" s="181"/>
      <c r="I9" s="181"/>
      <c r="O9" s="180"/>
      <c r="U9" s="448" t="str">
        <f>A58</f>
        <v>E. Installation et mise en fonction</v>
      </c>
      <c r="V9" s="449">
        <f>E64</f>
        <v>0</v>
      </c>
      <c r="W9" s="449">
        <f>F64</f>
        <v>0</v>
      </c>
      <c r="X9" s="449">
        <f t="shared" si="0"/>
        <v>0</v>
      </c>
      <c r="Y9" s="449">
        <f>H64</f>
        <v>0</v>
      </c>
      <c r="Z9" s="449">
        <f>I64</f>
        <v>0</v>
      </c>
      <c r="AA9" s="449">
        <f t="shared" si="1"/>
        <v>0</v>
      </c>
      <c r="AB9" s="429"/>
      <c r="AC9" s="429"/>
    </row>
    <row r="10" spans="1:29" ht="10.5" customHeight="1">
      <c r="A10" s="182"/>
      <c r="B10" s="183"/>
      <c r="C10" s="183"/>
      <c r="D10" s="183"/>
      <c r="E10" s="184"/>
      <c r="F10" s="184"/>
      <c r="G10" s="183"/>
      <c r="H10" s="184"/>
      <c r="I10" s="184"/>
      <c r="J10" s="184"/>
      <c r="K10" s="184"/>
      <c r="L10" s="184"/>
      <c r="M10" s="390"/>
      <c r="N10" s="185"/>
      <c r="O10" s="184"/>
      <c r="P10" s="390"/>
      <c r="Q10" s="185"/>
      <c r="R10" s="184"/>
      <c r="S10" s="183"/>
      <c r="U10" s="448" t="str">
        <f>A66</f>
        <v>F. Contingences</v>
      </c>
      <c r="V10" s="449">
        <f>E71</f>
        <v>0</v>
      </c>
      <c r="W10" s="449">
        <f>F71</f>
        <v>0</v>
      </c>
      <c r="X10" s="449">
        <f t="shared" si="0"/>
        <v>0</v>
      </c>
      <c r="Y10" s="449">
        <f>H71</f>
        <v>0</v>
      </c>
      <c r="Z10" s="449">
        <f>I71</f>
        <v>0</v>
      </c>
      <c r="AA10" s="449">
        <f t="shared" si="1"/>
        <v>0</v>
      </c>
      <c r="AB10" s="429"/>
      <c r="AC10" s="429"/>
    </row>
    <row r="11" spans="1:29" ht="13.5" customHeight="1" thickBot="1">
      <c r="A11" s="186"/>
      <c r="B11" s="186"/>
      <c r="C11" s="186"/>
      <c r="D11" s="186"/>
      <c r="E11" s="187"/>
      <c r="F11" s="187"/>
      <c r="G11" s="186"/>
      <c r="H11" s="187"/>
      <c r="I11" s="187"/>
      <c r="J11" s="187"/>
      <c r="K11" s="187"/>
      <c r="L11" s="187"/>
      <c r="M11" s="391"/>
      <c r="N11" s="188"/>
      <c r="O11" s="187"/>
      <c r="P11" s="391"/>
      <c r="Q11" s="188"/>
      <c r="R11" s="187"/>
      <c r="S11" s="186"/>
      <c r="U11" s="429"/>
      <c r="V11" s="429"/>
      <c r="W11" s="429"/>
      <c r="X11" s="429"/>
      <c r="Y11" s="429"/>
      <c r="Z11" s="429"/>
      <c r="AA11" s="429"/>
      <c r="AB11" s="429"/>
      <c r="AC11" s="429"/>
    </row>
    <row r="12" spans="1:19" ht="22.5" customHeight="1" thickBot="1">
      <c r="A12" s="1070" t="s">
        <v>169</v>
      </c>
      <c r="B12" s="1071"/>
      <c r="C12" s="1071"/>
      <c r="D12" s="1071"/>
      <c r="E12" s="1071"/>
      <c r="F12" s="1071"/>
      <c r="G12" s="1071"/>
      <c r="H12" s="1071"/>
      <c r="I12" s="1071"/>
      <c r="J12" s="1072"/>
      <c r="K12" s="1071" t="s">
        <v>168</v>
      </c>
      <c r="L12" s="1071"/>
      <c r="M12" s="1071"/>
      <c r="N12" s="1071"/>
      <c r="O12" s="1071"/>
      <c r="P12" s="1071"/>
      <c r="Q12" s="1071"/>
      <c r="R12" s="1071"/>
      <c r="S12" s="1076"/>
    </row>
    <row r="13" spans="1:19" s="189" customFormat="1" ht="13.5" customHeight="1" thickBot="1">
      <c r="A13" s="465">
        <v>1</v>
      </c>
      <c r="B13" s="465">
        <v>2</v>
      </c>
      <c r="C13" s="465">
        <v>3</v>
      </c>
      <c r="D13" s="1066">
        <v>4</v>
      </c>
      <c r="E13" s="1067"/>
      <c r="F13" s="1068"/>
      <c r="G13" s="1058">
        <v>5</v>
      </c>
      <c r="H13" s="1059"/>
      <c r="I13" s="1059"/>
      <c r="J13" s="466">
        <v>6</v>
      </c>
      <c r="K13" s="1067">
        <v>7</v>
      </c>
      <c r="L13" s="1068"/>
      <c r="M13" s="1066">
        <v>8</v>
      </c>
      <c r="N13" s="1067"/>
      <c r="O13" s="1068"/>
      <c r="P13" s="1066">
        <v>9</v>
      </c>
      <c r="Q13" s="1067"/>
      <c r="R13" s="1068"/>
      <c r="S13" s="465">
        <v>10</v>
      </c>
    </row>
    <row r="14" spans="1:19" ht="12.75">
      <c r="A14" s="1081" t="s">
        <v>124</v>
      </c>
      <c r="B14" s="1083" t="s">
        <v>125</v>
      </c>
      <c r="C14" s="467" t="s">
        <v>251</v>
      </c>
      <c r="D14" s="1060" t="s">
        <v>253</v>
      </c>
      <c r="E14" s="1061"/>
      <c r="F14" s="1062"/>
      <c r="G14" s="1063" t="s">
        <v>252</v>
      </c>
      <c r="H14" s="1064"/>
      <c r="I14" s="1065"/>
      <c r="J14" s="1090" t="s">
        <v>259</v>
      </c>
      <c r="K14" s="1077" t="s">
        <v>165</v>
      </c>
      <c r="L14" s="1077"/>
      <c r="M14" s="1073" t="s">
        <v>128</v>
      </c>
      <c r="N14" s="1074"/>
      <c r="O14" s="1075"/>
      <c r="P14" s="1063" t="s">
        <v>127</v>
      </c>
      <c r="Q14" s="1064"/>
      <c r="R14" s="1065"/>
      <c r="S14" s="1084" t="s">
        <v>132</v>
      </c>
    </row>
    <row r="15" spans="1:19" ht="42.75" customHeight="1">
      <c r="A15" s="1082"/>
      <c r="B15" s="1024"/>
      <c r="C15" s="468" t="s">
        <v>250</v>
      </c>
      <c r="D15" s="469" t="s">
        <v>989</v>
      </c>
      <c r="E15" s="470" t="s">
        <v>160</v>
      </c>
      <c r="F15" s="471" t="s">
        <v>159</v>
      </c>
      <c r="G15" s="469" t="s">
        <v>989</v>
      </c>
      <c r="H15" s="470" t="s">
        <v>160</v>
      </c>
      <c r="I15" s="472" t="s">
        <v>159</v>
      </c>
      <c r="J15" s="1091"/>
      <c r="K15" s="473" t="s">
        <v>160</v>
      </c>
      <c r="L15" s="470" t="s">
        <v>159</v>
      </c>
      <c r="M15" s="474" t="s">
        <v>175</v>
      </c>
      <c r="N15" s="475" t="s">
        <v>129</v>
      </c>
      <c r="O15" s="472" t="s">
        <v>130</v>
      </c>
      <c r="P15" s="476" t="s">
        <v>174</v>
      </c>
      <c r="Q15" s="475" t="s">
        <v>116</v>
      </c>
      <c r="R15" s="472" t="s">
        <v>131</v>
      </c>
      <c r="S15" s="1085"/>
    </row>
    <row r="16" spans="1:19" ht="12.75">
      <c r="A16" s="1078" t="s">
        <v>39</v>
      </c>
      <c r="B16" s="1079"/>
      <c r="C16" s="1079"/>
      <c r="D16" s="1079"/>
      <c r="E16" s="1079"/>
      <c r="F16" s="1079"/>
      <c r="G16" s="1079"/>
      <c r="H16" s="1079"/>
      <c r="I16" s="1079"/>
      <c r="J16" s="1079"/>
      <c r="K16" s="1079"/>
      <c r="L16" s="1079"/>
      <c r="M16" s="1079"/>
      <c r="N16" s="1079"/>
      <c r="O16" s="1079"/>
      <c r="P16" s="1079"/>
      <c r="Q16" s="1079"/>
      <c r="R16" s="1079"/>
      <c r="S16" s="1080"/>
    </row>
    <row r="17" spans="1:19" ht="12.75">
      <c r="A17" s="47"/>
      <c r="B17" s="48"/>
      <c r="C17" s="153"/>
      <c r="D17" s="153"/>
      <c r="E17" s="174"/>
      <c r="F17" s="174"/>
      <c r="G17" s="153"/>
      <c r="H17" s="161"/>
      <c r="I17" s="166"/>
      <c r="J17" s="190">
        <f>SUM(H17:I17)-SUM(E17:F17)</f>
        <v>0</v>
      </c>
      <c r="K17" s="167"/>
      <c r="L17" s="166"/>
      <c r="M17" s="392"/>
      <c r="N17" s="159"/>
      <c r="O17" s="161"/>
      <c r="P17" s="403"/>
      <c r="Q17" s="159"/>
      <c r="R17" s="165"/>
      <c r="S17" s="49"/>
    </row>
    <row r="18" spans="1:19" ht="12.75">
      <c r="A18" s="50"/>
      <c r="B18" s="51"/>
      <c r="C18" s="154"/>
      <c r="D18" s="154"/>
      <c r="E18" s="162"/>
      <c r="F18" s="162"/>
      <c r="G18" s="154"/>
      <c r="H18" s="162"/>
      <c r="I18" s="162"/>
      <c r="J18" s="198">
        <f>SUM(H18:I18)-SUM(E18:F18)</f>
        <v>0</v>
      </c>
      <c r="K18" s="165"/>
      <c r="L18" s="168"/>
      <c r="M18" s="393"/>
      <c r="N18" s="160"/>
      <c r="O18" s="162"/>
      <c r="P18" s="404"/>
      <c r="Q18" s="160"/>
      <c r="R18" s="165"/>
      <c r="S18" s="49"/>
    </row>
    <row r="19" spans="1:19" ht="12.75">
      <c r="A19" s="50"/>
      <c r="B19" s="51"/>
      <c r="C19" s="154"/>
      <c r="D19" s="154"/>
      <c r="E19" s="162"/>
      <c r="F19" s="162"/>
      <c r="G19" s="154"/>
      <c r="H19" s="162"/>
      <c r="I19" s="168"/>
      <c r="J19" s="198">
        <f aca="true" t="shared" si="2" ref="J19:J26">SUM(H19:I19)-SUM(E19:F19)</f>
        <v>0</v>
      </c>
      <c r="K19" s="165"/>
      <c r="L19" s="168"/>
      <c r="M19" s="393"/>
      <c r="N19" s="160"/>
      <c r="O19" s="162"/>
      <c r="P19" s="404"/>
      <c r="Q19" s="160"/>
      <c r="R19" s="165"/>
      <c r="S19" s="49"/>
    </row>
    <row r="20" spans="1:19" ht="12.75">
      <c r="A20" s="50"/>
      <c r="B20" s="51"/>
      <c r="C20" s="154"/>
      <c r="D20" s="154"/>
      <c r="E20" s="162"/>
      <c r="F20" s="162"/>
      <c r="G20" s="154"/>
      <c r="H20" s="162"/>
      <c r="I20" s="168"/>
      <c r="J20" s="198">
        <f t="shared" si="2"/>
        <v>0</v>
      </c>
      <c r="K20" s="165"/>
      <c r="L20" s="168"/>
      <c r="M20" s="393"/>
      <c r="N20" s="160"/>
      <c r="O20" s="162"/>
      <c r="P20" s="404"/>
      <c r="Q20" s="160"/>
      <c r="R20" s="165"/>
      <c r="S20" s="49"/>
    </row>
    <row r="21" spans="1:19" ht="12.75">
      <c r="A21" s="50"/>
      <c r="B21" s="51"/>
      <c r="C21" s="154"/>
      <c r="D21" s="154"/>
      <c r="E21" s="162"/>
      <c r="F21" s="162"/>
      <c r="G21" s="154"/>
      <c r="H21" s="162"/>
      <c r="I21" s="168"/>
      <c r="J21" s="198">
        <f t="shared" si="2"/>
        <v>0</v>
      </c>
      <c r="K21" s="165"/>
      <c r="L21" s="168"/>
      <c r="M21" s="393"/>
      <c r="N21" s="160"/>
      <c r="O21" s="162"/>
      <c r="P21" s="404"/>
      <c r="Q21" s="160"/>
      <c r="R21" s="165"/>
      <c r="S21" s="49"/>
    </row>
    <row r="22" spans="1:19" ht="12.75">
      <c r="A22" s="50"/>
      <c r="B22" s="51"/>
      <c r="C22" s="154"/>
      <c r="D22" s="154"/>
      <c r="E22" s="162"/>
      <c r="F22" s="162"/>
      <c r="G22" s="154"/>
      <c r="H22" s="162"/>
      <c r="I22" s="168"/>
      <c r="J22" s="198">
        <f t="shared" si="2"/>
        <v>0</v>
      </c>
      <c r="K22" s="165"/>
      <c r="L22" s="168"/>
      <c r="M22" s="393"/>
      <c r="N22" s="160"/>
      <c r="O22" s="162"/>
      <c r="P22" s="404"/>
      <c r="Q22" s="160"/>
      <c r="R22" s="165"/>
      <c r="S22" s="49"/>
    </row>
    <row r="23" spans="1:19" ht="12.75">
      <c r="A23" s="50"/>
      <c r="B23" s="51"/>
      <c r="C23" s="154"/>
      <c r="D23" s="154"/>
      <c r="E23" s="162"/>
      <c r="F23" s="162"/>
      <c r="G23" s="154"/>
      <c r="H23" s="162"/>
      <c r="I23" s="168"/>
      <c r="J23" s="198">
        <f t="shared" si="2"/>
        <v>0</v>
      </c>
      <c r="K23" s="165"/>
      <c r="L23" s="168"/>
      <c r="M23" s="393"/>
      <c r="N23" s="160"/>
      <c r="O23" s="162"/>
      <c r="P23" s="404"/>
      <c r="Q23" s="160"/>
      <c r="R23" s="165"/>
      <c r="S23" s="49"/>
    </row>
    <row r="24" spans="1:19" ht="12.75">
      <c r="A24" s="50"/>
      <c r="B24" s="51"/>
      <c r="C24" s="154"/>
      <c r="D24" s="154"/>
      <c r="E24" s="162"/>
      <c r="F24" s="162"/>
      <c r="G24" s="154"/>
      <c r="H24" s="162"/>
      <c r="I24" s="168"/>
      <c r="J24" s="198">
        <f t="shared" si="2"/>
        <v>0</v>
      </c>
      <c r="K24" s="165"/>
      <c r="L24" s="168"/>
      <c r="M24" s="393"/>
      <c r="N24" s="160"/>
      <c r="O24" s="162"/>
      <c r="P24" s="404"/>
      <c r="Q24" s="160"/>
      <c r="R24" s="165"/>
      <c r="S24" s="49"/>
    </row>
    <row r="25" spans="1:19" ht="12.75">
      <c r="A25" s="50"/>
      <c r="B25" s="51"/>
      <c r="C25" s="154"/>
      <c r="D25" s="154"/>
      <c r="E25" s="162"/>
      <c r="F25" s="162"/>
      <c r="G25" s="154"/>
      <c r="H25" s="162"/>
      <c r="I25" s="168"/>
      <c r="J25" s="198">
        <f t="shared" si="2"/>
        <v>0</v>
      </c>
      <c r="K25" s="165"/>
      <c r="L25" s="168"/>
      <c r="M25" s="393"/>
      <c r="N25" s="160"/>
      <c r="O25" s="162"/>
      <c r="P25" s="404"/>
      <c r="Q25" s="160"/>
      <c r="R25" s="165"/>
      <c r="S25" s="49"/>
    </row>
    <row r="26" spans="1:19" ht="12.75">
      <c r="A26" s="50"/>
      <c r="B26" s="51"/>
      <c r="C26" s="154"/>
      <c r="D26" s="154"/>
      <c r="E26" s="162"/>
      <c r="F26" s="162"/>
      <c r="G26" s="154"/>
      <c r="H26" s="162"/>
      <c r="I26" s="168"/>
      <c r="J26" s="198">
        <f t="shared" si="2"/>
        <v>0</v>
      </c>
      <c r="K26" s="165"/>
      <c r="L26" s="168"/>
      <c r="M26" s="393"/>
      <c r="N26" s="160"/>
      <c r="O26" s="162"/>
      <c r="P26" s="404"/>
      <c r="Q26" s="160"/>
      <c r="R26" s="165"/>
      <c r="S26" s="49"/>
    </row>
    <row r="27" spans="1:19" ht="13.5" thickBot="1">
      <c r="A27" s="50"/>
      <c r="B27" s="51"/>
      <c r="C27" s="155"/>
      <c r="D27" s="155"/>
      <c r="E27" s="173"/>
      <c r="F27" s="173"/>
      <c r="G27" s="155"/>
      <c r="H27" s="162"/>
      <c r="I27" s="168"/>
      <c r="J27" s="198">
        <f>SUM(H27:I27)-SUM(E27:F27)</f>
        <v>0</v>
      </c>
      <c r="K27" s="165"/>
      <c r="L27" s="168"/>
      <c r="M27" s="393"/>
      <c r="N27" s="160"/>
      <c r="O27" s="162"/>
      <c r="P27" s="404"/>
      <c r="Q27" s="160"/>
      <c r="R27" s="165"/>
      <c r="S27" s="49"/>
    </row>
    <row r="28" spans="1:19" ht="13.5" customHeight="1" thickTop="1">
      <c r="A28" s="201" t="s">
        <v>937</v>
      </c>
      <c r="B28" s="202"/>
      <c r="C28" s="194"/>
      <c r="D28" s="194"/>
      <c r="E28" s="203">
        <f>SUM(E17:E27)</f>
        <v>0</v>
      </c>
      <c r="F28" s="203">
        <f>SUM(F17:F27)</f>
        <v>0</v>
      </c>
      <c r="G28" s="195"/>
      <c r="H28" s="203">
        <f>SUM(H17:H27)</f>
        <v>0</v>
      </c>
      <c r="I28" s="203">
        <f>SUM(I17:I27)</f>
        <v>0</v>
      </c>
      <c r="J28" s="204">
        <f>SUM(J17:J27)</f>
        <v>0</v>
      </c>
      <c r="K28" s="203">
        <f>SUM(K17:K27)</f>
        <v>0</v>
      </c>
      <c r="L28" s="205">
        <f>SUM(L17:L27)</f>
        <v>0</v>
      </c>
      <c r="M28" s="394"/>
      <c r="N28" s="206"/>
      <c r="O28" s="207">
        <f>SUM(O17:O27)</f>
        <v>0</v>
      </c>
      <c r="P28" s="405"/>
      <c r="Q28" s="206"/>
      <c r="R28" s="207">
        <f>SUM(R17:R27)</f>
        <v>0</v>
      </c>
      <c r="S28" s="208"/>
    </row>
    <row r="29" spans="1:19" ht="4.5" customHeight="1">
      <c r="A29" s="209"/>
      <c r="B29" s="194"/>
      <c r="C29" s="194"/>
      <c r="D29" s="194"/>
      <c r="E29" s="210"/>
      <c r="F29" s="210"/>
      <c r="G29" s="211"/>
      <c r="H29" s="191"/>
      <c r="I29" s="197"/>
      <c r="J29" s="212"/>
      <c r="K29" s="213"/>
      <c r="L29" s="214"/>
      <c r="M29" s="395"/>
      <c r="N29" s="199"/>
      <c r="O29" s="210"/>
      <c r="P29" s="406"/>
      <c r="Q29" s="199"/>
      <c r="R29" s="213"/>
      <c r="S29" s="192"/>
    </row>
    <row r="30" spans="1:19" ht="12.75">
      <c r="A30" s="1078" t="s">
        <v>40</v>
      </c>
      <c r="B30" s="1079"/>
      <c r="C30" s="1079"/>
      <c r="D30" s="1079"/>
      <c r="E30" s="1079"/>
      <c r="F30" s="1079"/>
      <c r="G30" s="1079"/>
      <c r="H30" s="1079"/>
      <c r="I30" s="1079"/>
      <c r="J30" s="1079"/>
      <c r="K30" s="1079"/>
      <c r="L30" s="1079"/>
      <c r="M30" s="1079"/>
      <c r="N30" s="1079"/>
      <c r="O30" s="1079"/>
      <c r="P30" s="1079"/>
      <c r="Q30" s="1079"/>
      <c r="R30" s="1079"/>
      <c r="S30" s="1080"/>
    </row>
    <row r="31" spans="1:19" ht="12.75">
      <c r="A31" s="47"/>
      <c r="B31" s="51"/>
      <c r="C31" s="156"/>
      <c r="D31" s="156"/>
      <c r="E31" s="161"/>
      <c r="F31" s="161"/>
      <c r="G31" s="156"/>
      <c r="H31" s="161"/>
      <c r="I31" s="166"/>
      <c r="J31" s="190">
        <f>SUM(H31:I31)-SUM(E31:F31)</f>
        <v>0</v>
      </c>
      <c r="K31" s="167"/>
      <c r="L31" s="166"/>
      <c r="M31" s="392"/>
      <c r="N31" s="159"/>
      <c r="O31" s="161"/>
      <c r="P31" s="404"/>
      <c r="Q31" s="159"/>
      <c r="R31" s="165"/>
      <c r="S31" s="49"/>
    </row>
    <row r="32" spans="1:19" ht="12.75">
      <c r="A32" s="50"/>
      <c r="B32" s="51"/>
      <c r="C32" s="154"/>
      <c r="D32" s="154"/>
      <c r="E32" s="162"/>
      <c r="F32" s="162"/>
      <c r="G32" s="154"/>
      <c r="H32" s="162"/>
      <c r="I32" s="162"/>
      <c r="J32" s="198">
        <f>SUM(H32:I32)-SUM(E32:F32)</f>
        <v>0</v>
      </c>
      <c r="K32" s="165"/>
      <c r="L32" s="168"/>
      <c r="M32" s="393"/>
      <c r="N32" s="160"/>
      <c r="O32" s="162"/>
      <c r="P32" s="404"/>
      <c r="Q32" s="160"/>
      <c r="R32" s="165"/>
      <c r="S32" s="49"/>
    </row>
    <row r="33" spans="1:19" ht="15.75" customHeight="1">
      <c r="A33" s="50"/>
      <c r="B33" s="524"/>
      <c r="C33" s="525"/>
      <c r="D33" s="525"/>
      <c r="E33" s="526"/>
      <c r="F33" s="526"/>
      <c r="G33" s="525"/>
      <c r="H33" s="526"/>
      <c r="I33" s="526"/>
      <c r="J33" s="527">
        <f aca="true" t="shared" si="3" ref="J33:J38">SUM(H33:I33)-SUM(E33:F33)</f>
        <v>0</v>
      </c>
      <c r="K33" s="165"/>
      <c r="L33" s="168"/>
      <c r="M33" s="393"/>
      <c r="N33" s="160"/>
      <c r="O33" s="162"/>
      <c r="P33" s="404"/>
      <c r="Q33" s="160"/>
      <c r="R33" s="165"/>
      <c r="S33" s="49"/>
    </row>
    <row r="34" spans="1:19" ht="12.75">
      <c r="A34" s="50"/>
      <c r="B34" s="51"/>
      <c r="C34" s="154"/>
      <c r="D34" s="154"/>
      <c r="E34" s="162"/>
      <c r="F34" s="162"/>
      <c r="G34" s="154"/>
      <c r="H34" s="162"/>
      <c r="I34" s="162"/>
      <c r="J34" s="198">
        <f t="shared" si="3"/>
        <v>0</v>
      </c>
      <c r="K34" s="165"/>
      <c r="L34" s="168"/>
      <c r="M34" s="393"/>
      <c r="N34" s="160"/>
      <c r="O34" s="162"/>
      <c r="P34" s="404"/>
      <c r="Q34" s="160"/>
      <c r="R34" s="165"/>
      <c r="S34" s="49"/>
    </row>
    <row r="35" spans="1:19" ht="12.75">
      <c r="A35" s="50"/>
      <c r="B35" s="51"/>
      <c r="C35" s="154"/>
      <c r="D35" s="154"/>
      <c r="E35" s="162"/>
      <c r="F35" s="162"/>
      <c r="G35" s="154"/>
      <c r="H35" s="162"/>
      <c r="I35" s="168"/>
      <c r="J35" s="198">
        <f t="shared" si="3"/>
        <v>0</v>
      </c>
      <c r="K35" s="165"/>
      <c r="L35" s="168"/>
      <c r="M35" s="393"/>
      <c r="N35" s="160"/>
      <c r="O35" s="162"/>
      <c r="P35" s="404"/>
      <c r="Q35" s="160"/>
      <c r="R35" s="165"/>
      <c r="S35" s="49"/>
    </row>
    <row r="36" spans="1:19" ht="12.75">
      <c r="A36" s="50"/>
      <c r="B36" s="51"/>
      <c r="C36" s="154"/>
      <c r="D36" s="154"/>
      <c r="E36" s="162"/>
      <c r="F36" s="162"/>
      <c r="G36" s="154"/>
      <c r="H36" s="162"/>
      <c r="I36" s="168"/>
      <c r="J36" s="198">
        <f t="shared" si="3"/>
        <v>0</v>
      </c>
      <c r="K36" s="165"/>
      <c r="L36" s="168"/>
      <c r="M36" s="393"/>
      <c r="N36" s="160"/>
      <c r="O36" s="162"/>
      <c r="P36" s="404"/>
      <c r="Q36" s="160"/>
      <c r="R36" s="165"/>
      <c r="S36" s="49"/>
    </row>
    <row r="37" spans="1:19" ht="12.75">
      <c r="A37" s="50"/>
      <c r="B37" s="51"/>
      <c r="C37" s="154"/>
      <c r="D37" s="154"/>
      <c r="E37" s="162"/>
      <c r="F37" s="162"/>
      <c r="G37" s="154"/>
      <c r="H37" s="162"/>
      <c r="I37" s="168"/>
      <c r="J37" s="198">
        <f t="shared" si="3"/>
        <v>0</v>
      </c>
      <c r="K37" s="165"/>
      <c r="L37" s="168"/>
      <c r="M37" s="393"/>
      <c r="N37" s="160"/>
      <c r="O37" s="162"/>
      <c r="P37" s="404"/>
      <c r="Q37" s="160"/>
      <c r="R37" s="165"/>
      <c r="S37" s="49"/>
    </row>
    <row r="38" spans="1:19" ht="12.75">
      <c r="A38" s="50"/>
      <c r="B38" s="51"/>
      <c r="C38" s="154"/>
      <c r="D38" s="154"/>
      <c r="E38" s="162"/>
      <c r="F38" s="162"/>
      <c r="G38" s="154"/>
      <c r="H38" s="162"/>
      <c r="I38" s="168"/>
      <c r="J38" s="198">
        <f t="shared" si="3"/>
        <v>0</v>
      </c>
      <c r="K38" s="165"/>
      <c r="L38" s="168"/>
      <c r="M38" s="393"/>
      <c r="N38" s="160"/>
      <c r="O38" s="162"/>
      <c r="P38" s="404"/>
      <c r="Q38" s="160"/>
      <c r="R38" s="165"/>
      <c r="S38" s="49"/>
    </row>
    <row r="39" spans="1:19" ht="13.5" thickBot="1">
      <c r="A39" s="193"/>
      <c r="B39" s="194"/>
      <c r="C39" s="200"/>
      <c r="D39" s="195"/>
      <c r="E39" s="196"/>
      <c r="F39" s="196"/>
      <c r="G39" s="195"/>
      <c r="H39" s="196"/>
      <c r="I39" s="197"/>
      <c r="J39" s="198">
        <f>SUM(H39:I39)-SUM(E39:F39)</f>
        <v>0</v>
      </c>
      <c r="K39" s="191"/>
      <c r="L39" s="197"/>
      <c r="M39" s="396"/>
      <c r="N39" s="199"/>
      <c r="O39" s="196"/>
      <c r="P39" s="406"/>
      <c r="Q39" s="199"/>
      <c r="R39" s="191"/>
      <c r="S39" s="192"/>
    </row>
    <row r="40" spans="1:19" ht="13.5" thickTop="1">
      <c r="A40" s="201" t="s">
        <v>937</v>
      </c>
      <c r="B40" s="202"/>
      <c r="C40" s="202"/>
      <c r="D40" s="202"/>
      <c r="E40" s="207">
        <f>SUM(E31:E39)</f>
        <v>0</v>
      </c>
      <c r="F40" s="207">
        <f>SUM(F31:F39)</f>
        <v>0</v>
      </c>
      <c r="G40" s="202"/>
      <c r="H40" s="207">
        <f>SUM(H31:H39)</f>
        <v>0</v>
      </c>
      <c r="I40" s="207">
        <f>SUM(I31:I39)</f>
        <v>0</v>
      </c>
      <c r="J40" s="204">
        <f>SUM(J31:J39)</f>
        <v>0</v>
      </c>
      <c r="K40" s="203">
        <f>SUM(K31:K39)</f>
        <v>0</v>
      </c>
      <c r="L40" s="205">
        <f>SUM(L31:L39)</f>
        <v>0</v>
      </c>
      <c r="M40" s="394"/>
      <c r="N40" s="206"/>
      <c r="O40" s="207">
        <f>SUM(O31:O39)</f>
        <v>0</v>
      </c>
      <c r="P40" s="405"/>
      <c r="Q40" s="206"/>
      <c r="R40" s="207">
        <f>SUM(R31:R39)</f>
        <v>0</v>
      </c>
      <c r="S40" s="208"/>
    </row>
    <row r="41" spans="1:19" ht="4.5" customHeight="1">
      <c r="A41" s="209"/>
      <c r="B41" s="194"/>
      <c r="C41" s="194"/>
      <c r="D41" s="194"/>
      <c r="E41" s="215"/>
      <c r="F41" s="215"/>
      <c r="G41" s="194"/>
      <c r="H41" s="196"/>
      <c r="I41" s="197"/>
      <c r="J41" s="212"/>
      <c r="K41" s="213"/>
      <c r="L41" s="215"/>
      <c r="M41" s="395"/>
      <c r="N41" s="199"/>
      <c r="O41" s="210"/>
      <c r="P41" s="406"/>
      <c r="Q41" s="199"/>
      <c r="R41" s="213"/>
      <c r="S41" s="192"/>
    </row>
    <row r="42" spans="1:19" ht="12.75">
      <c r="A42" s="1078" t="s">
        <v>232</v>
      </c>
      <c r="B42" s="1079"/>
      <c r="C42" s="1079"/>
      <c r="D42" s="1079"/>
      <c r="E42" s="1079"/>
      <c r="F42" s="1079"/>
      <c r="G42" s="1079"/>
      <c r="H42" s="1079"/>
      <c r="I42" s="1079"/>
      <c r="J42" s="1079"/>
      <c r="K42" s="1079"/>
      <c r="L42" s="1079"/>
      <c r="M42" s="1079"/>
      <c r="N42" s="1079"/>
      <c r="O42" s="1079"/>
      <c r="P42" s="1079"/>
      <c r="Q42" s="1079"/>
      <c r="R42" s="1079"/>
      <c r="S42" s="1080"/>
    </row>
    <row r="43" spans="1:19" ht="12.75">
      <c r="A43" s="47"/>
      <c r="B43" s="51"/>
      <c r="C43" s="156"/>
      <c r="D43" s="156"/>
      <c r="E43" s="161"/>
      <c r="F43" s="161"/>
      <c r="G43" s="156"/>
      <c r="H43" s="161"/>
      <c r="I43" s="166"/>
      <c r="J43" s="190">
        <f>SUM(H43:I43)-SUM(E43:F43)</f>
        <v>0</v>
      </c>
      <c r="K43" s="167"/>
      <c r="L43" s="166"/>
      <c r="M43" s="392"/>
      <c r="N43" s="159"/>
      <c r="O43" s="161"/>
      <c r="P43" s="404"/>
      <c r="Q43" s="159"/>
      <c r="R43" s="165"/>
      <c r="S43" s="49"/>
    </row>
    <row r="44" spans="1:19" ht="12.75">
      <c r="A44" s="50"/>
      <c r="B44" s="51"/>
      <c r="C44" s="154"/>
      <c r="D44" s="154"/>
      <c r="E44" s="162"/>
      <c r="F44" s="162"/>
      <c r="G44" s="154"/>
      <c r="H44" s="162"/>
      <c r="I44" s="162"/>
      <c r="J44" s="198">
        <f>SUM(H44:I44)-SUM(E44:F44)</f>
        <v>0</v>
      </c>
      <c r="K44" s="165"/>
      <c r="L44" s="168"/>
      <c r="M44" s="393"/>
      <c r="N44" s="160"/>
      <c r="O44" s="162"/>
      <c r="P44" s="404"/>
      <c r="Q44" s="160"/>
      <c r="R44" s="165"/>
      <c r="S44" s="49"/>
    </row>
    <row r="45" spans="1:19" ht="12.75">
      <c r="A45" s="50"/>
      <c r="B45" s="51"/>
      <c r="C45" s="154"/>
      <c r="D45" s="154"/>
      <c r="E45" s="162"/>
      <c r="F45" s="154"/>
      <c r="G45" s="154"/>
      <c r="H45" s="162"/>
      <c r="I45" s="154"/>
      <c r="J45" s="198">
        <f>SUM(H45:I45)-SUM(E45:F45)</f>
        <v>0</v>
      </c>
      <c r="K45" s="165"/>
      <c r="L45" s="168"/>
      <c r="M45" s="393"/>
      <c r="N45" s="160"/>
      <c r="O45" s="162"/>
      <c r="P45" s="404"/>
      <c r="Q45" s="160"/>
      <c r="R45" s="165"/>
      <c r="S45" s="49"/>
    </row>
    <row r="46" spans="1:19" ht="12.75">
      <c r="A46" s="50"/>
      <c r="B46" s="51"/>
      <c r="C46" s="154"/>
      <c r="D46" s="154"/>
      <c r="E46" s="162"/>
      <c r="F46" s="162"/>
      <c r="G46" s="154"/>
      <c r="H46" s="162"/>
      <c r="I46" s="168"/>
      <c r="J46" s="198">
        <f>SUM(H46:I46)-SUM(E46:F46)</f>
        <v>0</v>
      </c>
      <c r="K46" s="165"/>
      <c r="L46" s="168"/>
      <c r="M46" s="393"/>
      <c r="N46" s="160"/>
      <c r="O46" s="162"/>
      <c r="P46" s="404"/>
      <c r="Q46" s="160"/>
      <c r="R46" s="165"/>
      <c r="S46" s="49"/>
    </row>
    <row r="47" spans="1:19" ht="13.5" thickBot="1">
      <c r="A47" s="50"/>
      <c r="B47" s="51"/>
      <c r="C47" s="155"/>
      <c r="D47" s="154"/>
      <c r="E47" s="162"/>
      <c r="F47" s="162"/>
      <c r="G47" s="154"/>
      <c r="H47" s="162"/>
      <c r="I47" s="168"/>
      <c r="J47" s="198">
        <f>SUM(H47:I47)-SUM(E47:F47)</f>
        <v>0</v>
      </c>
      <c r="K47" s="165"/>
      <c r="L47" s="168"/>
      <c r="M47" s="393"/>
      <c r="N47" s="160"/>
      <c r="O47" s="162"/>
      <c r="P47" s="404"/>
      <c r="Q47" s="160"/>
      <c r="R47" s="165"/>
      <c r="S47" s="49"/>
    </row>
    <row r="48" spans="1:19" ht="13.5" customHeight="1" thickTop="1">
      <c r="A48" s="201" t="s">
        <v>937</v>
      </c>
      <c r="B48" s="202"/>
      <c r="C48" s="202"/>
      <c r="D48" s="202"/>
      <c r="E48" s="207">
        <f>SUM(E43:E47)</f>
        <v>0</v>
      </c>
      <c r="F48" s="207">
        <f>SUM(F43:F47)</f>
        <v>0</v>
      </c>
      <c r="G48" s="202"/>
      <c r="H48" s="207">
        <f>SUM(H43:H47)</f>
        <v>0</v>
      </c>
      <c r="I48" s="207">
        <f>SUM(I43:I47)</f>
        <v>0</v>
      </c>
      <c r="J48" s="204">
        <f>SUM(J43:J47)</f>
        <v>0</v>
      </c>
      <c r="K48" s="203">
        <f>SUM(K43:K47)</f>
        <v>0</v>
      </c>
      <c r="L48" s="205">
        <f>SUM(L43:L47)</f>
        <v>0</v>
      </c>
      <c r="M48" s="394"/>
      <c r="N48" s="206"/>
      <c r="O48" s="207">
        <f>SUM(O43:O47)</f>
        <v>0</v>
      </c>
      <c r="P48" s="405"/>
      <c r="Q48" s="206"/>
      <c r="R48" s="207">
        <f>SUM(R43:R47)</f>
        <v>0</v>
      </c>
      <c r="S48" s="208"/>
    </row>
    <row r="49" spans="1:19" ht="4.5" customHeight="1">
      <c r="A49" s="209"/>
      <c r="B49" s="194"/>
      <c r="C49" s="194"/>
      <c r="D49" s="194"/>
      <c r="E49" s="215"/>
      <c r="F49" s="215"/>
      <c r="G49" s="194"/>
      <c r="H49" s="196"/>
      <c r="I49" s="197"/>
      <c r="J49" s="212"/>
      <c r="K49" s="213"/>
      <c r="L49" s="215"/>
      <c r="M49" s="395"/>
      <c r="N49" s="199"/>
      <c r="O49" s="210"/>
      <c r="P49" s="406"/>
      <c r="Q49" s="199"/>
      <c r="R49" s="213"/>
      <c r="S49" s="192"/>
    </row>
    <row r="50" spans="1:19" ht="12.75">
      <c r="A50" s="1078" t="s">
        <v>233</v>
      </c>
      <c r="B50" s="1079"/>
      <c r="C50" s="1079"/>
      <c r="D50" s="1079"/>
      <c r="E50" s="1079"/>
      <c r="F50" s="1079"/>
      <c r="G50" s="1079"/>
      <c r="H50" s="1079"/>
      <c r="I50" s="1079"/>
      <c r="J50" s="1079"/>
      <c r="K50" s="1079"/>
      <c r="L50" s="1079"/>
      <c r="M50" s="1079"/>
      <c r="N50" s="1079"/>
      <c r="O50" s="1079"/>
      <c r="P50" s="1079"/>
      <c r="Q50" s="1079"/>
      <c r="R50" s="1079"/>
      <c r="S50" s="1080"/>
    </row>
    <row r="51" spans="1:19" ht="12.75">
      <c r="A51" s="47"/>
      <c r="B51" s="51"/>
      <c r="C51" s="156"/>
      <c r="D51" s="156"/>
      <c r="E51" s="161"/>
      <c r="F51" s="161"/>
      <c r="G51" s="156"/>
      <c r="H51" s="162"/>
      <c r="I51" s="162"/>
      <c r="J51" s="190">
        <f>SUM(H51:I51)-SUM(E51:F51)</f>
        <v>0</v>
      </c>
      <c r="K51" s="167"/>
      <c r="L51" s="166"/>
      <c r="M51" s="392"/>
      <c r="N51" s="159"/>
      <c r="O51" s="161"/>
      <c r="P51" s="404"/>
      <c r="Q51" s="159"/>
      <c r="R51" s="165"/>
      <c r="S51" s="49"/>
    </row>
    <row r="52" spans="1:19" ht="12.75">
      <c r="A52" s="50"/>
      <c r="B52" s="51"/>
      <c r="C52" s="154"/>
      <c r="D52" s="154"/>
      <c r="E52" s="162"/>
      <c r="F52" s="162"/>
      <c r="G52" s="154"/>
      <c r="H52" s="162"/>
      <c r="I52" s="154"/>
      <c r="J52" s="198">
        <f>SUM(H52:I52)-SUM(E52:F52)</f>
        <v>0</v>
      </c>
      <c r="K52" s="165"/>
      <c r="L52" s="168"/>
      <c r="M52" s="393"/>
      <c r="N52" s="160"/>
      <c r="O52" s="162"/>
      <c r="P52" s="404"/>
      <c r="Q52" s="160"/>
      <c r="R52" s="165"/>
      <c r="S52" s="49"/>
    </row>
    <row r="53" spans="1:19" ht="12.75">
      <c r="A53" s="50"/>
      <c r="B53" s="51"/>
      <c r="C53" s="154"/>
      <c r="D53" s="154"/>
      <c r="E53" s="162"/>
      <c r="F53" s="154"/>
      <c r="G53" s="154"/>
      <c r="H53" s="162"/>
      <c r="I53" s="168"/>
      <c r="J53" s="198">
        <f>SUM(H53:I53)-SUM(E53:F53)</f>
        <v>0</v>
      </c>
      <c r="K53" s="165"/>
      <c r="L53" s="168"/>
      <c r="M53" s="393"/>
      <c r="N53" s="160"/>
      <c r="O53" s="162"/>
      <c r="P53" s="404"/>
      <c r="Q53" s="160"/>
      <c r="R53" s="165"/>
      <c r="S53" s="49"/>
    </row>
    <row r="54" spans="1:19" ht="12.75">
      <c r="A54" s="50"/>
      <c r="B54" s="51"/>
      <c r="C54" s="154"/>
      <c r="D54" s="154"/>
      <c r="E54" s="162"/>
      <c r="F54" s="162"/>
      <c r="G54" s="154"/>
      <c r="H54" s="162"/>
      <c r="I54" s="168"/>
      <c r="J54" s="198">
        <f>SUM(H54:I54)-SUM(E54:F54)</f>
        <v>0</v>
      </c>
      <c r="K54" s="165"/>
      <c r="L54" s="168"/>
      <c r="M54" s="393"/>
      <c r="N54" s="160"/>
      <c r="O54" s="162"/>
      <c r="P54" s="404"/>
      <c r="Q54" s="160"/>
      <c r="R54" s="165"/>
      <c r="S54" s="49"/>
    </row>
    <row r="55" spans="1:19" ht="13.5" thickBot="1">
      <c r="A55" s="50"/>
      <c r="B55" s="51"/>
      <c r="C55" s="155"/>
      <c r="D55" s="154"/>
      <c r="E55" s="162"/>
      <c r="F55" s="162"/>
      <c r="G55" s="154"/>
      <c r="H55" s="162"/>
      <c r="I55" s="168"/>
      <c r="J55" s="198">
        <f>SUM(H55:I55)-SUM(E55:F55)</f>
        <v>0</v>
      </c>
      <c r="K55" s="165"/>
      <c r="L55" s="168"/>
      <c r="M55" s="393"/>
      <c r="N55" s="160"/>
      <c r="O55" s="162"/>
      <c r="P55" s="404"/>
      <c r="Q55" s="160"/>
      <c r="R55" s="165"/>
      <c r="S55" s="49"/>
    </row>
    <row r="56" spans="1:19" ht="13.5" thickTop="1">
      <c r="A56" s="201" t="s">
        <v>937</v>
      </c>
      <c r="B56" s="202"/>
      <c r="C56" s="202"/>
      <c r="D56" s="202"/>
      <c r="E56" s="207">
        <f>SUM(E51:E55)</f>
        <v>0</v>
      </c>
      <c r="F56" s="207">
        <f>SUM(F51:F55)</f>
        <v>0</v>
      </c>
      <c r="G56" s="202"/>
      <c r="H56" s="207">
        <f>SUM(H51:H55)</f>
        <v>0</v>
      </c>
      <c r="I56" s="207">
        <f>SUM(I51:I55)</f>
        <v>0</v>
      </c>
      <c r="J56" s="204">
        <f>SUM(J51:J55)</f>
        <v>0</v>
      </c>
      <c r="K56" s="203">
        <f>SUM(K51:K55)</f>
        <v>0</v>
      </c>
      <c r="L56" s="205">
        <f>SUM(L51:L55)</f>
        <v>0</v>
      </c>
      <c r="M56" s="394"/>
      <c r="N56" s="206"/>
      <c r="O56" s="207">
        <f>SUM(O51:O55)</f>
        <v>0</v>
      </c>
      <c r="P56" s="405"/>
      <c r="Q56" s="206"/>
      <c r="R56" s="207">
        <f>SUM(R51:R55)</f>
        <v>0</v>
      </c>
      <c r="S56" s="208"/>
    </row>
    <row r="57" spans="1:19" ht="4.5" customHeight="1">
      <c r="A57" s="209"/>
      <c r="B57" s="194"/>
      <c r="C57" s="194"/>
      <c r="D57" s="194"/>
      <c r="E57" s="215"/>
      <c r="F57" s="215"/>
      <c r="G57" s="194"/>
      <c r="H57" s="196"/>
      <c r="I57" s="197"/>
      <c r="J57" s="212"/>
      <c r="K57" s="213"/>
      <c r="L57" s="215"/>
      <c r="M57" s="395"/>
      <c r="N57" s="199"/>
      <c r="O57" s="210"/>
      <c r="P57" s="406"/>
      <c r="Q57" s="199"/>
      <c r="R57" s="213"/>
      <c r="S57" s="192"/>
    </row>
    <row r="58" spans="1:19" ht="12.75">
      <c r="A58" s="1078" t="s">
        <v>234</v>
      </c>
      <c r="B58" s="1079"/>
      <c r="C58" s="1079"/>
      <c r="D58" s="1079"/>
      <c r="E58" s="1079"/>
      <c r="F58" s="1079"/>
      <c r="G58" s="1079"/>
      <c r="H58" s="1079"/>
      <c r="I58" s="1079"/>
      <c r="J58" s="1079"/>
      <c r="K58" s="1079"/>
      <c r="L58" s="1079"/>
      <c r="M58" s="1079"/>
      <c r="N58" s="1079"/>
      <c r="O58" s="1079"/>
      <c r="P58" s="1079"/>
      <c r="Q58" s="1079"/>
      <c r="R58" s="1079"/>
      <c r="S58" s="1080"/>
    </row>
    <row r="59" spans="1:35" ht="12.75">
      <c r="A59" s="52"/>
      <c r="B59" s="53"/>
      <c r="C59" s="157"/>
      <c r="D59" s="157"/>
      <c r="E59" s="163"/>
      <c r="F59" s="163"/>
      <c r="G59" s="157"/>
      <c r="H59" s="164"/>
      <c r="I59" s="164"/>
      <c r="J59" s="216">
        <f>SUM(H59:I59)-SUM(E59:F59)</f>
        <v>0</v>
      </c>
      <c r="K59" s="170"/>
      <c r="L59" s="169"/>
      <c r="M59" s="397"/>
      <c r="N59" s="159"/>
      <c r="O59" s="163"/>
      <c r="P59" s="407"/>
      <c r="Q59" s="159"/>
      <c r="R59" s="163"/>
      <c r="S59" s="54"/>
      <c r="T59" s="542"/>
      <c r="U59" s="542"/>
      <c r="V59" s="542"/>
      <c r="W59" s="542"/>
      <c r="X59" s="542"/>
      <c r="Y59" s="542"/>
      <c r="Z59" s="542"/>
      <c r="AA59" s="542"/>
      <c r="AB59" s="542"/>
      <c r="AC59" s="542"/>
      <c r="AD59" s="542"/>
      <c r="AE59" s="542"/>
      <c r="AF59" s="542"/>
      <c r="AG59" s="542"/>
      <c r="AH59" s="542"/>
      <c r="AI59" s="542"/>
    </row>
    <row r="60" spans="1:35" ht="12.75">
      <c r="A60" s="55"/>
      <c r="B60" s="53"/>
      <c r="C60" s="158"/>
      <c r="D60" s="158"/>
      <c r="E60" s="164"/>
      <c r="F60" s="164"/>
      <c r="G60" s="158"/>
      <c r="H60" s="164"/>
      <c r="I60" s="164"/>
      <c r="J60" s="217">
        <f>SUM(H60:I60)-SUM(E60:F60)</f>
        <v>0</v>
      </c>
      <c r="K60" s="172"/>
      <c r="L60" s="171"/>
      <c r="M60" s="398"/>
      <c r="N60" s="160"/>
      <c r="O60" s="164"/>
      <c r="P60" s="408"/>
      <c r="Q60" s="160"/>
      <c r="R60" s="164"/>
      <c r="S60" s="56"/>
      <c r="T60" s="542"/>
      <c r="U60" s="542"/>
      <c r="V60" s="542"/>
      <c r="W60" s="542"/>
      <c r="X60" s="542"/>
      <c r="Y60" s="542"/>
      <c r="Z60" s="542"/>
      <c r="AA60" s="542"/>
      <c r="AB60" s="542"/>
      <c r="AC60" s="542"/>
      <c r="AD60" s="542"/>
      <c r="AE60" s="542"/>
      <c r="AF60" s="542"/>
      <c r="AG60" s="542"/>
      <c r="AH60" s="542"/>
      <c r="AI60" s="542"/>
    </row>
    <row r="61" spans="1:35" ht="12.75">
      <c r="A61" s="55"/>
      <c r="B61" s="53"/>
      <c r="C61" s="158"/>
      <c r="D61" s="158"/>
      <c r="E61" s="164"/>
      <c r="F61" s="164"/>
      <c r="G61" s="158"/>
      <c r="H61" s="164"/>
      <c r="I61" s="158"/>
      <c r="J61" s="217">
        <f>SUM(H61:I61)-SUM(E61:F61)</f>
        <v>0</v>
      </c>
      <c r="K61" s="172"/>
      <c r="L61" s="171"/>
      <c r="M61" s="398"/>
      <c r="N61" s="160"/>
      <c r="O61" s="164"/>
      <c r="P61" s="408"/>
      <c r="Q61" s="160"/>
      <c r="R61" s="164"/>
      <c r="S61" s="56"/>
      <c r="T61" s="542"/>
      <c r="U61" s="542"/>
      <c r="V61" s="542"/>
      <c r="W61" s="542"/>
      <c r="X61" s="542"/>
      <c r="Y61" s="542"/>
      <c r="Z61" s="542"/>
      <c r="AA61" s="542"/>
      <c r="AB61" s="542"/>
      <c r="AC61" s="542"/>
      <c r="AD61" s="542"/>
      <c r="AE61" s="542"/>
      <c r="AF61" s="542"/>
      <c r="AG61" s="542"/>
      <c r="AH61" s="542"/>
      <c r="AI61" s="542"/>
    </row>
    <row r="62" spans="1:35" ht="12.75">
      <c r="A62" s="55"/>
      <c r="B62" s="53"/>
      <c r="C62" s="158"/>
      <c r="D62" s="158"/>
      <c r="E62" s="164"/>
      <c r="F62" s="158"/>
      <c r="G62" s="158"/>
      <c r="H62" s="164"/>
      <c r="I62" s="171"/>
      <c r="J62" s="217">
        <f>SUM(H62:I62)-SUM(E62:F62)</f>
        <v>0</v>
      </c>
      <c r="K62" s="172"/>
      <c r="L62" s="171"/>
      <c r="M62" s="398"/>
      <c r="N62" s="160"/>
      <c r="O62" s="164"/>
      <c r="P62" s="408"/>
      <c r="Q62" s="160"/>
      <c r="R62" s="164"/>
      <c r="S62" s="56"/>
      <c r="T62" s="542"/>
      <c r="U62" s="542"/>
      <c r="V62" s="542"/>
      <c r="W62" s="542"/>
      <c r="X62" s="542"/>
      <c r="Y62" s="542"/>
      <c r="Z62" s="542"/>
      <c r="AA62" s="542"/>
      <c r="AB62" s="542"/>
      <c r="AC62" s="542"/>
      <c r="AD62" s="542"/>
      <c r="AE62" s="542"/>
      <c r="AF62" s="542"/>
      <c r="AG62" s="542"/>
      <c r="AH62" s="542"/>
      <c r="AI62" s="542"/>
    </row>
    <row r="63" spans="1:35" ht="13.5" thickBot="1">
      <c r="A63" s="50"/>
      <c r="B63" s="51"/>
      <c r="C63" s="155"/>
      <c r="D63" s="155"/>
      <c r="E63" s="173"/>
      <c r="F63" s="173"/>
      <c r="G63" s="155"/>
      <c r="H63" s="173"/>
      <c r="I63" s="168"/>
      <c r="J63" s="198">
        <f>SUM(H63:I63)-SUM(E63:F63)</f>
        <v>0</v>
      </c>
      <c r="K63" s="165"/>
      <c r="L63" s="168"/>
      <c r="M63" s="399"/>
      <c r="N63" s="160"/>
      <c r="O63" s="162"/>
      <c r="P63" s="404"/>
      <c r="Q63" s="160"/>
      <c r="R63" s="165"/>
      <c r="S63" s="49"/>
      <c r="T63" s="542"/>
      <c r="U63" s="542"/>
      <c r="V63" s="542"/>
      <c r="W63" s="542"/>
      <c r="X63" s="542"/>
      <c r="Y63" s="542"/>
      <c r="Z63" s="542"/>
      <c r="AA63" s="542"/>
      <c r="AB63" s="542"/>
      <c r="AC63" s="542"/>
      <c r="AD63" s="542"/>
      <c r="AE63" s="542"/>
      <c r="AF63" s="542"/>
      <c r="AG63" s="542"/>
      <c r="AH63" s="542"/>
      <c r="AI63" s="542"/>
    </row>
    <row r="64" spans="1:35" ht="13.5" thickTop="1">
      <c r="A64" s="201" t="s">
        <v>937</v>
      </c>
      <c r="B64" s="202"/>
      <c r="C64" s="202"/>
      <c r="D64" s="202"/>
      <c r="E64" s="207">
        <f>SUM(E59:E63)</f>
        <v>0</v>
      </c>
      <c r="F64" s="207">
        <f>SUM(F59:F63)</f>
        <v>0</v>
      </c>
      <c r="G64" s="202"/>
      <c r="H64" s="207">
        <f>SUM(H59:H63)</f>
        <v>0</v>
      </c>
      <c r="I64" s="207">
        <f>SUM(I59:I63)</f>
        <v>0</v>
      </c>
      <c r="J64" s="204">
        <f>SUM(J59:J63)</f>
        <v>0</v>
      </c>
      <c r="K64" s="203">
        <f>SUM(K59:K63)</f>
        <v>0</v>
      </c>
      <c r="L64" s="205">
        <f>SUM(L59:L63)</f>
        <v>0</v>
      </c>
      <c r="M64" s="394"/>
      <c r="N64" s="206"/>
      <c r="O64" s="207">
        <f>SUM(O59:O63)</f>
        <v>0</v>
      </c>
      <c r="P64" s="405"/>
      <c r="Q64" s="206"/>
      <c r="R64" s="207">
        <f>SUM(R59:R63)</f>
        <v>0</v>
      </c>
      <c r="S64" s="208"/>
      <c r="T64" s="542"/>
      <c r="U64" s="542"/>
      <c r="V64" s="542"/>
      <c r="W64" s="542"/>
      <c r="X64" s="542"/>
      <c r="Y64" s="542"/>
      <c r="Z64" s="542"/>
      <c r="AA64" s="542"/>
      <c r="AB64" s="542"/>
      <c r="AC64" s="542"/>
      <c r="AD64" s="542"/>
      <c r="AE64" s="542"/>
      <c r="AF64" s="542"/>
      <c r="AG64" s="542"/>
      <c r="AH64" s="542"/>
      <c r="AI64" s="542"/>
    </row>
    <row r="65" spans="1:35" ht="4.5" customHeight="1">
      <c r="A65" s="209"/>
      <c r="B65" s="194"/>
      <c r="C65" s="194"/>
      <c r="D65" s="194"/>
      <c r="E65" s="215"/>
      <c r="F65" s="215"/>
      <c r="G65" s="194"/>
      <c r="H65" s="196"/>
      <c r="I65" s="197"/>
      <c r="J65" s="212"/>
      <c r="K65" s="213"/>
      <c r="L65" s="215"/>
      <c r="M65" s="395"/>
      <c r="N65" s="199"/>
      <c r="O65" s="210"/>
      <c r="P65" s="406"/>
      <c r="Q65" s="199"/>
      <c r="R65" s="213"/>
      <c r="S65" s="192"/>
      <c r="T65" s="542"/>
      <c r="U65" s="542"/>
      <c r="V65" s="542"/>
      <c r="W65" s="542"/>
      <c r="X65" s="542"/>
      <c r="Y65" s="542"/>
      <c r="Z65" s="542"/>
      <c r="AA65" s="542"/>
      <c r="AB65" s="542"/>
      <c r="AC65" s="542"/>
      <c r="AD65" s="542"/>
      <c r="AE65" s="542"/>
      <c r="AF65" s="542"/>
      <c r="AG65" s="542"/>
      <c r="AH65" s="542"/>
      <c r="AI65" s="542"/>
    </row>
    <row r="66" spans="1:35" ht="12.75">
      <c r="A66" s="1078" t="s">
        <v>163</v>
      </c>
      <c r="B66" s="1079"/>
      <c r="C66" s="1079"/>
      <c r="D66" s="1079"/>
      <c r="E66" s="1079"/>
      <c r="F66" s="1079"/>
      <c r="G66" s="1079"/>
      <c r="H66" s="1079"/>
      <c r="I66" s="1079"/>
      <c r="J66" s="1079"/>
      <c r="K66" s="1079"/>
      <c r="L66" s="1079"/>
      <c r="M66" s="1079"/>
      <c r="N66" s="1079"/>
      <c r="O66" s="1079"/>
      <c r="P66" s="1079"/>
      <c r="Q66" s="1079"/>
      <c r="R66" s="1079"/>
      <c r="S66" s="1080"/>
      <c r="T66" s="542"/>
      <c r="U66" s="542"/>
      <c r="V66" s="542"/>
      <c r="W66" s="542"/>
      <c r="X66" s="542"/>
      <c r="Y66" s="542"/>
      <c r="Z66" s="542"/>
      <c r="AA66" s="542"/>
      <c r="AB66" s="542"/>
      <c r="AC66" s="542"/>
      <c r="AD66" s="542"/>
      <c r="AE66" s="542"/>
      <c r="AF66" s="542"/>
      <c r="AG66" s="542"/>
      <c r="AH66" s="542"/>
      <c r="AI66" s="542"/>
    </row>
    <row r="67" spans="1:35" ht="12.75">
      <c r="A67" s="47"/>
      <c r="B67" s="51"/>
      <c r="C67" s="156"/>
      <c r="D67" s="156"/>
      <c r="E67" s="161"/>
      <c r="F67" s="161"/>
      <c r="G67" s="156"/>
      <c r="H67" s="162"/>
      <c r="I67" s="154"/>
      <c r="J67" s="218">
        <f>SUM(H67:I67)-SUM(E67:F67)</f>
        <v>0</v>
      </c>
      <c r="K67" s="167"/>
      <c r="L67" s="166"/>
      <c r="M67" s="392"/>
      <c r="N67" s="159"/>
      <c r="O67" s="161"/>
      <c r="P67" s="404"/>
      <c r="Q67" s="159"/>
      <c r="R67" s="165"/>
      <c r="S67" s="49"/>
      <c r="T67" s="542"/>
      <c r="U67" s="542"/>
      <c r="V67" s="542"/>
      <c r="W67" s="542"/>
      <c r="X67" s="542"/>
      <c r="Y67" s="542"/>
      <c r="Z67" s="542"/>
      <c r="AA67" s="542"/>
      <c r="AB67" s="542"/>
      <c r="AC67" s="542"/>
      <c r="AD67" s="542"/>
      <c r="AE67" s="542"/>
      <c r="AF67" s="542"/>
      <c r="AG67" s="542"/>
      <c r="AH67" s="542"/>
      <c r="AI67" s="542"/>
    </row>
    <row r="68" spans="1:35" ht="12.75">
      <c r="A68" s="50"/>
      <c r="B68" s="51"/>
      <c r="C68" s="154"/>
      <c r="D68" s="154"/>
      <c r="E68" s="162"/>
      <c r="F68" s="154"/>
      <c r="G68" s="154"/>
      <c r="H68" s="162"/>
      <c r="I68" s="162"/>
      <c r="J68" s="219">
        <f>SUM(H68:I68)-SUM(E68:F68)</f>
        <v>0</v>
      </c>
      <c r="K68" s="165"/>
      <c r="L68" s="168"/>
      <c r="M68" s="393"/>
      <c r="N68" s="160"/>
      <c r="O68" s="162"/>
      <c r="P68" s="404"/>
      <c r="Q68" s="160"/>
      <c r="R68" s="165"/>
      <c r="S68" s="49"/>
      <c r="T68" s="542"/>
      <c r="U68" s="542"/>
      <c r="V68" s="542"/>
      <c r="W68" s="542"/>
      <c r="X68" s="542"/>
      <c r="Y68" s="542"/>
      <c r="Z68" s="542"/>
      <c r="AA68" s="542"/>
      <c r="AB68" s="542"/>
      <c r="AC68" s="542"/>
      <c r="AD68" s="542"/>
      <c r="AE68" s="542"/>
      <c r="AF68" s="542"/>
      <c r="AG68" s="542"/>
      <c r="AH68" s="542"/>
      <c r="AI68" s="542"/>
    </row>
    <row r="69" spans="1:35" ht="12.75">
      <c r="A69" s="50"/>
      <c r="B69" s="51"/>
      <c r="C69" s="154"/>
      <c r="D69" s="154"/>
      <c r="E69" s="162"/>
      <c r="F69" s="162"/>
      <c r="G69" s="154"/>
      <c r="H69" s="162"/>
      <c r="I69" s="162"/>
      <c r="J69" s="219">
        <f>SUM(H69:I69)-SUM(E69:F69)</f>
        <v>0</v>
      </c>
      <c r="K69" s="165"/>
      <c r="L69" s="168"/>
      <c r="M69" s="393"/>
      <c r="N69" s="160"/>
      <c r="O69" s="162"/>
      <c r="P69" s="404"/>
      <c r="Q69" s="160"/>
      <c r="R69" s="165"/>
      <c r="S69" s="49"/>
      <c r="T69" s="542"/>
      <c r="U69" s="542"/>
      <c r="V69" s="542"/>
      <c r="W69" s="542"/>
      <c r="X69" s="542"/>
      <c r="Y69" s="542"/>
      <c r="Z69" s="542"/>
      <c r="AA69" s="542"/>
      <c r="AB69" s="542"/>
      <c r="AC69" s="542"/>
      <c r="AD69" s="542"/>
      <c r="AE69" s="542"/>
      <c r="AF69" s="542"/>
      <c r="AG69" s="542"/>
      <c r="AH69" s="542"/>
      <c r="AI69" s="542"/>
    </row>
    <row r="70" spans="1:35" ht="13.5" thickBot="1">
      <c r="A70" s="50"/>
      <c r="B70" s="51"/>
      <c r="C70" s="155"/>
      <c r="D70" s="154"/>
      <c r="E70" s="162"/>
      <c r="F70" s="162"/>
      <c r="G70" s="154"/>
      <c r="H70" s="162"/>
      <c r="I70" s="162"/>
      <c r="J70" s="219">
        <f>SUM(H70:I70)-SUM(E70:F70)</f>
        <v>0</v>
      </c>
      <c r="K70" s="165"/>
      <c r="L70" s="168"/>
      <c r="M70" s="393"/>
      <c r="N70" s="160"/>
      <c r="O70" s="162"/>
      <c r="P70" s="404"/>
      <c r="Q70" s="160"/>
      <c r="R70" s="165"/>
      <c r="S70" s="49"/>
      <c r="T70" s="542"/>
      <c r="U70" s="542"/>
      <c r="V70" s="542"/>
      <c r="W70" s="542"/>
      <c r="X70" s="542"/>
      <c r="Y70" s="542"/>
      <c r="Z70" s="542"/>
      <c r="AA70" s="542"/>
      <c r="AB70" s="542"/>
      <c r="AC70" s="542"/>
      <c r="AD70" s="542"/>
      <c r="AE70" s="542"/>
      <c r="AF70" s="542"/>
      <c r="AG70" s="542"/>
      <c r="AH70" s="542"/>
      <c r="AI70" s="542"/>
    </row>
    <row r="71" spans="1:35" ht="13.5" thickTop="1">
      <c r="A71" s="201" t="s">
        <v>937</v>
      </c>
      <c r="B71" s="202"/>
      <c r="C71" s="202"/>
      <c r="D71" s="202"/>
      <c r="E71" s="207">
        <f>SUM(E67:E70)</f>
        <v>0</v>
      </c>
      <c r="F71" s="207">
        <f>SUM(F67:F70)</f>
        <v>0</v>
      </c>
      <c r="G71" s="202"/>
      <c r="H71" s="207">
        <f>SUM(H67:H70)</f>
        <v>0</v>
      </c>
      <c r="I71" s="207">
        <f>SUM(I67:I70)</f>
        <v>0</v>
      </c>
      <c r="J71" s="204">
        <f>SUM(J67:J70)</f>
        <v>0</v>
      </c>
      <c r="K71" s="203">
        <f>SUM(K67:K70)</f>
        <v>0</v>
      </c>
      <c r="L71" s="205">
        <f>SUM(L67:L70)</f>
        <v>0</v>
      </c>
      <c r="M71" s="394"/>
      <c r="N71" s="206"/>
      <c r="O71" s="207">
        <f>SUM(O67:O70)</f>
        <v>0</v>
      </c>
      <c r="P71" s="405"/>
      <c r="Q71" s="206"/>
      <c r="R71" s="207">
        <f>SUM(R67:R70)</f>
        <v>0</v>
      </c>
      <c r="S71" s="208"/>
      <c r="T71" s="542"/>
      <c r="U71" s="542"/>
      <c r="V71" s="542"/>
      <c r="W71" s="542"/>
      <c r="X71" s="542"/>
      <c r="Y71" s="542"/>
      <c r="Z71" s="542"/>
      <c r="AA71" s="542"/>
      <c r="AB71" s="542"/>
      <c r="AC71" s="542"/>
      <c r="AD71" s="542"/>
      <c r="AE71" s="542"/>
      <c r="AF71" s="542"/>
      <c r="AG71" s="542"/>
      <c r="AH71" s="542"/>
      <c r="AI71" s="542"/>
    </row>
    <row r="72" spans="1:35" ht="4.5" customHeight="1" thickBot="1">
      <c r="A72" s="220"/>
      <c r="B72" s="194"/>
      <c r="C72" s="194"/>
      <c r="D72" s="194"/>
      <c r="E72" s="215"/>
      <c r="F72" s="215"/>
      <c r="G72" s="194"/>
      <c r="H72" s="196"/>
      <c r="I72" s="197"/>
      <c r="J72" s="198"/>
      <c r="K72" s="191"/>
      <c r="L72" s="215"/>
      <c r="M72" s="396"/>
      <c r="N72" s="199"/>
      <c r="O72" s="196"/>
      <c r="P72" s="406"/>
      <c r="Q72" s="199"/>
      <c r="R72" s="191"/>
      <c r="S72" s="192"/>
      <c r="T72" s="542"/>
      <c r="U72" s="542"/>
      <c r="V72" s="542"/>
      <c r="W72" s="542"/>
      <c r="X72" s="542"/>
      <c r="Y72" s="542"/>
      <c r="Z72" s="542"/>
      <c r="AA72" s="542"/>
      <c r="AB72" s="542"/>
      <c r="AC72" s="542"/>
      <c r="AD72" s="542"/>
      <c r="AE72" s="542"/>
      <c r="AF72" s="542"/>
      <c r="AG72" s="542"/>
      <c r="AH72" s="542"/>
      <c r="AI72" s="542"/>
    </row>
    <row r="73" spans="1:35" ht="19.5" customHeight="1" thickBot="1" thickTop="1">
      <c r="A73" s="1092" t="s">
        <v>167</v>
      </c>
      <c r="B73" s="1093"/>
      <c r="C73" s="1094"/>
      <c r="D73" s="221"/>
      <c r="E73" s="222">
        <f>SUM(E71,E64,E56,E48,E40,E28)</f>
        <v>0</v>
      </c>
      <c r="F73" s="222">
        <f>SUM(F71,F64,F56,F48,F40,F28)</f>
        <v>0</v>
      </c>
      <c r="G73" s="221"/>
      <c r="H73" s="222">
        <f>SUM(H71,H64,H56,H48,H40,H28)</f>
        <v>0</v>
      </c>
      <c r="I73" s="222">
        <f>SUM(I71,I64,I56,I48,I40,I28)</f>
        <v>0</v>
      </c>
      <c r="J73" s="223">
        <f>SUM(J71,J64,J56,J48,J40,J28)</f>
        <v>0</v>
      </c>
      <c r="K73" s="224">
        <f>SUM(K71,K64,K56,K48,K40,K28)</f>
        <v>0</v>
      </c>
      <c r="L73" s="225">
        <f>SUM(L28,L40,L48,L56,L64,L71)</f>
        <v>0</v>
      </c>
      <c r="M73" s="400"/>
      <c r="N73" s="226"/>
      <c r="O73" s="227"/>
      <c r="P73" s="409"/>
      <c r="Q73" s="226"/>
      <c r="R73" s="227"/>
      <c r="S73" s="228"/>
      <c r="T73" s="542"/>
      <c r="U73" s="542"/>
      <c r="V73" s="542"/>
      <c r="W73" s="542"/>
      <c r="X73" s="542"/>
      <c r="Y73" s="542"/>
      <c r="Z73" s="542"/>
      <c r="AA73" s="542"/>
      <c r="AB73" s="542"/>
      <c r="AC73" s="542"/>
      <c r="AD73" s="542"/>
      <c r="AE73" s="542"/>
      <c r="AF73" s="542"/>
      <c r="AG73" s="542"/>
      <c r="AH73" s="542"/>
      <c r="AI73" s="542"/>
    </row>
    <row r="74" spans="1:35" ht="13.5" customHeight="1" thickTop="1">
      <c r="A74" s="229"/>
      <c r="B74" s="230"/>
      <c r="C74" s="230"/>
      <c r="D74" s="230"/>
      <c r="E74" s="1056" t="s">
        <v>255</v>
      </c>
      <c r="F74" s="1057"/>
      <c r="G74" s="230"/>
      <c r="H74" s="1056" t="s">
        <v>254</v>
      </c>
      <c r="I74" s="1057"/>
      <c r="J74" s="231"/>
      <c r="K74" s="1088" t="s">
        <v>166</v>
      </c>
      <c r="L74" s="1089"/>
      <c r="M74" s="401"/>
      <c r="N74" s="232"/>
      <c r="O74" s="233"/>
      <c r="P74" s="410"/>
      <c r="Q74" s="232"/>
      <c r="R74" s="233"/>
      <c r="S74" s="234"/>
      <c r="T74" s="542"/>
      <c r="U74" s="542"/>
      <c r="V74" s="542"/>
      <c r="W74" s="542"/>
      <c r="X74" s="542"/>
      <c r="Y74" s="542"/>
      <c r="Z74" s="542"/>
      <c r="AA74" s="542"/>
      <c r="AB74" s="542"/>
      <c r="AC74" s="542"/>
      <c r="AD74" s="542"/>
      <c r="AE74" s="542"/>
      <c r="AF74" s="542"/>
      <c r="AG74" s="542"/>
      <c r="AH74" s="542"/>
      <c r="AI74" s="542"/>
    </row>
    <row r="75" spans="1:35" ht="18" customHeight="1" thickBot="1">
      <c r="A75" s="442"/>
      <c r="B75" s="443"/>
      <c r="C75" s="235" t="s">
        <v>991</v>
      </c>
      <c r="D75" s="235"/>
      <c r="E75" s="1054">
        <f>E73+F73</f>
        <v>0</v>
      </c>
      <c r="F75" s="1055"/>
      <c r="G75" s="235"/>
      <c r="H75" s="1052">
        <f>H73+I73</f>
        <v>0</v>
      </c>
      <c r="I75" s="1053"/>
      <c r="J75" s="236">
        <f>J73</f>
        <v>0</v>
      </c>
      <c r="K75" s="1086">
        <f>SUM(K73,L73)</f>
        <v>0</v>
      </c>
      <c r="L75" s="1087"/>
      <c r="M75" s="402"/>
      <c r="N75" s="237"/>
      <c r="O75" s="238"/>
      <c r="P75" s="411"/>
      <c r="Q75" s="237"/>
      <c r="R75" s="238"/>
      <c r="S75" s="239"/>
      <c r="T75" s="542"/>
      <c r="U75" s="542"/>
      <c r="V75" s="542"/>
      <c r="W75" s="542"/>
      <c r="X75" s="542"/>
      <c r="Y75" s="542"/>
      <c r="Z75" s="542"/>
      <c r="AA75" s="542"/>
      <c r="AB75" s="542"/>
      <c r="AC75" s="542"/>
      <c r="AD75" s="542"/>
      <c r="AE75" s="542"/>
      <c r="AF75" s="542"/>
      <c r="AG75" s="542"/>
      <c r="AH75" s="542"/>
      <c r="AI75" s="542"/>
    </row>
    <row r="76" spans="20:35" ht="7.5" customHeight="1">
      <c r="T76" s="542"/>
      <c r="U76" s="542"/>
      <c r="V76" s="542"/>
      <c r="W76" s="542"/>
      <c r="X76" s="542"/>
      <c r="Y76" s="542"/>
      <c r="Z76" s="542"/>
      <c r="AA76" s="542"/>
      <c r="AB76" s="542"/>
      <c r="AC76" s="542"/>
      <c r="AD76" s="542"/>
      <c r="AE76" s="542"/>
      <c r="AF76" s="542"/>
      <c r="AG76" s="542"/>
      <c r="AH76" s="542"/>
      <c r="AI76" s="542"/>
    </row>
    <row r="77" spans="20:35" ht="12.75">
      <c r="T77" s="542"/>
      <c r="U77" s="542"/>
      <c r="V77" s="542"/>
      <c r="W77" s="542"/>
      <c r="X77" s="542"/>
      <c r="Y77" s="542"/>
      <c r="Z77" s="542"/>
      <c r="AA77" s="542"/>
      <c r="AB77" s="542"/>
      <c r="AC77" s="542"/>
      <c r="AD77" s="542"/>
      <c r="AE77" s="542"/>
      <c r="AF77" s="542"/>
      <c r="AG77" s="542"/>
      <c r="AH77" s="542"/>
      <c r="AI77" s="542"/>
    </row>
    <row r="78" spans="1:35" ht="15.75" customHeight="1">
      <c r="A78" s="482" t="s">
        <v>971</v>
      </c>
      <c r="B78" s="29"/>
      <c r="C78" s="29"/>
      <c r="D78" s="29"/>
      <c r="E78" s="29"/>
      <c r="F78" s="29"/>
      <c r="G78" s="29"/>
      <c r="H78" s="29"/>
      <c r="I78" s="29"/>
      <c r="J78" s="29"/>
      <c r="K78" s="29"/>
      <c r="L78" s="29"/>
      <c r="M78" s="29"/>
      <c r="N78" s="29"/>
      <c r="O78" s="29"/>
      <c r="P78" s="29"/>
      <c r="Q78" s="29"/>
      <c r="R78" s="29"/>
      <c r="S78" s="535">
        <f>Instructions!$J$45</f>
        <v>45364</v>
      </c>
      <c r="T78" s="29"/>
      <c r="U78" s="29"/>
      <c r="V78" s="29"/>
      <c r="W78" s="481"/>
      <c r="X78" s="29"/>
      <c r="Y78" s="29"/>
      <c r="Z78" s="29"/>
      <c r="AA78" s="29"/>
      <c r="AB78" s="29"/>
      <c r="AC78" s="29"/>
      <c r="AD78" s="29"/>
      <c r="AE78" s="1020"/>
      <c r="AF78" s="1020"/>
      <c r="AG78" s="542"/>
      <c r="AH78" s="542"/>
      <c r="AI78" s="542"/>
    </row>
    <row r="79" spans="1:35" ht="6" customHeight="1">
      <c r="A79" s="538"/>
      <c r="B79" s="538"/>
      <c r="C79" s="538"/>
      <c r="D79" s="538"/>
      <c r="E79" s="538"/>
      <c r="F79" s="538"/>
      <c r="G79" s="538"/>
      <c r="H79" s="538"/>
      <c r="I79" s="538"/>
      <c r="J79" s="538"/>
      <c r="K79" s="538"/>
      <c r="L79" s="538"/>
      <c r="M79" s="538"/>
      <c r="N79" s="538"/>
      <c r="O79" s="538"/>
      <c r="P79" s="538"/>
      <c r="Q79" s="538"/>
      <c r="R79" s="538"/>
      <c r="S79" s="538"/>
      <c r="T79" s="541"/>
      <c r="U79" s="541"/>
      <c r="V79" s="541"/>
      <c r="W79" s="541"/>
      <c r="X79" s="541"/>
      <c r="Y79" s="541"/>
      <c r="Z79" s="541"/>
      <c r="AA79" s="541"/>
      <c r="AB79" s="541"/>
      <c r="AC79" s="541"/>
      <c r="AD79" s="541"/>
      <c r="AE79" s="541"/>
      <c r="AF79" s="541"/>
      <c r="AG79" s="542"/>
      <c r="AH79" s="542"/>
      <c r="AI79" s="542"/>
    </row>
    <row r="80" spans="20:35" ht="12.75">
      <c r="T80" s="542"/>
      <c r="U80" s="542"/>
      <c r="V80" s="542"/>
      <c r="W80" s="542"/>
      <c r="X80" s="542"/>
      <c r="Y80" s="542"/>
      <c r="Z80" s="542"/>
      <c r="AA80" s="542"/>
      <c r="AB80" s="542"/>
      <c r="AC80" s="542"/>
      <c r="AD80" s="542"/>
      <c r="AE80" s="542"/>
      <c r="AF80" s="542"/>
      <c r="AG80" s="542"/>
      <c r="AH80" s="542"/>
      <c r="AI80" s="542"/>
    </row>
    <row r="81" spans="20:35" ht="12.75">
      <c r="T81" s="542"/>
      <c r="U81" s="542"/>
      <c r="V81" s="542"/>
      <c r="W81" s="542"/>
      <c r="X81" s="542"/>
      <c r="Y81" s="542"/>
      <c r="Z81" s="542"/>
      <c r="AA81" s="542"/>
      <c r="AB81" s="542"/>
      <c r="AC81" s="542"/>
      <c r="AD81" s="542"/>
      <c r="AE81" s="542"/>
      <c r="AF81" s="542"/>
      <c r="AG81" s="542"/>
      <c r="AH81" s="542"/>
      <c r="AI81" s="542"/>
    </row>
    <row r="82" spans="20:35" ht="12.75">
      <c r="T82" s="542"/>
      <c r="U82" s="542"/>
      <c r="V82" s="542"/>
      <c r="W82" s="542"/>
      <c r="X82" s="542"/>
      <c r="Y82" s="542"/>
      <c r="Z82" s="542"/>
      <c r="AA82" s="542"/>
      <c r="AB82" s="542"/>
      <c r="AC82" s="542"/>
      <c r="AD82" s="542"/>
      <c r="AE82" s="542"/>
      <c r="AF82" s="542"/>
      <c r="AG82" s="542"/>
      <c r="AH82" s="542"/>
      <c r="AI82" s="542"/>
    </row>
    <row r="83" spans="20:35" ht="12.75">
      <c r="T83" s="542"/>
      <c r="U83" s="542"/>
      <c r="V83" s="542"/>
      <c r="W83" s="542"/>
      <c r="X83" s="542"/>
      <c r="Y83" s="542"/>
      <c r="Z83" s="542"/>
      <c r="AA83" s="542"/>
      <c r="AB83" s="542"/>
      <c r="AC83" s="542"/>
      <c r="AD83" s="542"/>
      <c r="AE83" s="542"/>
      <c r="AF83" s="542"/>
      <c r="AG83" s="542"/>
      <c r="AH83" s="542"/>
      <c r="AI83" s="542"/>
    </row>
    <row r="84" spans="20:35" ht="12.75">
      <c r="T84" s="542"/>
      <c r="U84" s="542"/>
      <c r="V84" s="542"/>
      <c r="W84" s="542"/>
      <c r="X84" s="542"/>
      <c r="Y84" s="542"/>
      <c r="Z84" s="542"/>
      <c r="AA84" s="542"/>
      <c r="AB84" s="542"/>
      <c r="AC84" s="542"/>
      <c r="AD84" s="542"/>
      <c r="AE84" s="542"/>
      <c r="AF84" s="542"/>
      <c r="AG84" s="542"/>
      <c r="AH84" s="542"/>
      <c r="AI84" s="542"/>
    </row>
    <row r="85" spans="20:35" ht="12.75">
      <c r="T85" s="542"/>
      <c r="U85" s="542"/>
      <c r="V85" s="542"/>
      <c r="W85" s="542"/>
      <c r="X85" s="542"/>
      <c r="Y85" s="542"/>
      <c r="Z85" s="542"/>
      <c r="AA85" s="542"/>
      <c r="AB85" s="542"/>
      <c r="AC85" s="542"/>
      <c r="AD85" s="542"/>
      <c r="AE85" s="542"/>
      <c r="AF85" s="542"/>
      <c r="AG85" s="542"/>
      <c r="AH85" s="542"/>
      <c r="AI85" s="542"/>
    </row>
    <row r="86" spans="20:35" ht="12.75">
      <c r="T86" s="542"/>
      <c r="U86" s="542"/>
      <c r="V86" s="542"/>
      <c r="W86" s="542"/>
      <c r="X86" s="542"/>
      <c r="Y86" s="542"/>
      <c r="Z86" s="542"/>
      <c r="AA86" s="542"/>
      <c r="AB86" s="542"/>
      <c r="AC86" s="542"/>
      <c r="AD86" s="542"/>
      <c r="AE86" s="542"/>
      <c r="AF86" s="542"/>
      <c r="AG86" s="542"/>
      <c r="AH86" s="542"/>
      <c r="AI86" s="542"/>
    </row>
    <row r="87" spans="20:35" ht="12.75">
      <c r="T87" s="542"/>
      <c r="U87" s="542"/>
      <c r="V87" s="542"/>
      <c r="W87" s="542"/>
      <c r="X87" s="542"/>
      <c r="Y87" s="542"/>
      <c r="Z87" s="542"/>
      <c r="AA87" s="542"/>
      <c r="AB87" s="542"/>
      <c r="AC87" s="542"/>
      <c r="AD87" s="542"/>
      <c r="AE87" s="542"/>
      <c r="AF87" s="542"/>
      <c r="AG87" s="542"/>
      <c r="AH87" s="542"/>
      <c r="AI87" s="542"/>
    </row>
    <row r="88" spans="20:35" ht="12.75">
      <c r="T88" s="542"/>
      <c r="U88" s="542"/>
      <c r="V88" s="542"/>
      <c r="W88" s="542"/>
      <c r="X88" s="542"/>
      <c r="Y88" s="542"/>
      <c r="Z88" s="542"/>
      <c r="AA88" s="542"/>
      <c r="AB88" s="542"/>
      <c r="AC88" s="542"/>
      <c r="AD88" s="542"/>
      <c r="AE88" s="542"/>
      <c r="AF88" s="542"/>
      <c r="AG88" s="542"/>
      <c r="AH88" s="542"/>
      <c r="AI88" s="542"/>
    </row>
    <row r="89" spans="20:35" ht="12.75">
      <c r="T89" s="542"/>
      <c r="U89" s="542"/>
      <c r="V89" s="542"/>
      <c r="W89" s="542"/>
      <c r="X89" s="542"/>
      <c r="Y89" s="542"/>
      <c r="Z89" s="542"/>
      <c r="AA89" s="542"/>
      <c r="AB89" s="542"/>
      <c r="AC89" s="542"/>
      <c r="AD89" s="542"/>
      <c r="AE89" s="542"/>
      <c r="AF89" s="542"/>
      <c r="AG89" s="542"/>
      <c r="AH89" s="542"/>
      <c r="AI89" s="542"/>
    </row>
    <row r="90" spans="20:35" ht="12.75">
      <c r="T90" s="542"/>
      <c r="U90" s="542"/>
      <c r="V90" s="542"/>
      <c r="W90" s="542"/>
      <c r="X90" s="542"/>
      <c r="Y90" s="542"/>
      <c r="Z90" s="542"/>
      <c r="AA90" s="542"/>
      <c r="AB90" s="542"/>
      <c r="AC90" s="542"/>
      <c r="AD90" s="542"/>
      <c r="AE90" s="542"/>
      <c r="AF90" s="542"/>
      <c r="AG90" s="542"/>
      <c r="AH90" s="542"/>
      <c r="AI90" s="542"/>
    </row>
    <row r="91" spans="20:35" ht="12.75">
      <c r="T91" s="542"/>
      <c r="U91" s="542"/>
      <c r="V91" s="542"/>
      <c r="W91" s="542"/>
      <c r="X91" s="542"/>
      <c r="Y91" s="542"/>
      <c r="Z91" s="542"/>
      <c r="AA91" s="542"/>
      <c r="AB91" s="542"/>
      <c r="AC91" s="542"/>
      <c r="AD91" s="542"/>
      <c r="AE91" s="542"/>
      <c r="AF91" s="542"/>
      <c r="AG91" s="542"/>
      <c r="AH91" s="542"/>
      <c r="AI91" s="542"/>
    </row>
    <row r="92" spans="20:35" ht="12.75">
      <c r="T92" s="542"/>
      <c r="U92" s="542"/>
      <c r="V92" s="542"/>
      <c r="W92" s="542"/>
      <c r="X92" s="542"/>
      <c r="Y92" s="542"/>
      <c r="Z92" s="542"/>
      <c r="AA92" s="542"/>
      <c r="AB92" s="542"/>
      <c r="AC92" s="542"/>
      <c r="AD92" s="542"/>
      <c r="AE92" s="542"/>
      <c r="AF92" s="542"/>
      <c r="AG92" s="542"/>
      <c r="AH92" s="542"/>
      <c r="AI92" s="542"/>
    </row>
    <row r="93" spans="20:35" ht="12.75">
      <c r="T93" s="542"/>
      <c r="U93" s="542"/>
      <c r="V93" s="542"/>
      <c r="W93" s="542"/>
      <c r="X93" s="542"/>
      <c r="Y93" s="542"/>
      <c r="Z93" s="542"/>
      <c r="AA93" s="542"/>
      <c r="AB93" s="542"/>
      <c r="AC93" s="542"/>
      <c r="AD93" s="542"/>
      <c r="AE93" s="542"/>
      <c r="AF93" s="542"/>
      <c r="AG93" s="542"/>
      <c r="AH93" s="542"/>
      <c r="AI93" s="542"/>
    </row>
    <row r="197" ht="12.75">
      <c r="B197" s="416"/>
    </row>
    <row r="198" ht="12.75">
      <c r="B198" s="417"/>
    </row>
    <row r="199" ht="12.75">
      <c r="B199" s="417"/>
    </row>
    <row r="200" ht="12.75">
      <c r="B200" s="417"/>
    </row>
    <row r="201" ht="6" customHeight="1">
      <c r="B201" s="417"/>
    </row>
  </sheetData>
  <sheetProtection password="E71A" sheet="1" objects="1" scenarios="1"/>
  <mergeCells count="36">
    <mergeCell ref="K75:L75"/>
    <mergeCell ref="K74:L74"/>
    <mergeCell ref="J14:J15"/>
    <mergeCell ref="A73:C73"/>
    <mergeCell ref="A66:S66"/>
    <mergeCell ref="A58:S58"/>
    <mergeCell ref="A50:S50"/>
    <mergeCell ref="P13:R13"/>
    <mergeCell ref="K13:L13"/>
    <mergeCell ref="K14:L14"/>
    <mergeCell ref="A16:S16"/>
    <mergeCell ref="A42:S42"/>
    <mergeCell ref="A14:A15"/>
    <mergeCell ref="B14:B15"/>
    <mergeCell ref="S14:S15"/>
    <mergeCell ref="A30:S30"/>
    <mergeCell ref="B7:C7"/>
    <mergeCell ref="A12:J12"/>
    <mergeCell ref="P14:R14"/>
    <mergeCell ref="M14:O14"/>
    <mergeCell ref="V3:X3"/>
    <mergeCell ref="L7:P7"/>
    <mergeCell ref="B8:C8"/>
    <mergeCell ref="B9:C9"/>
    <mergeCell ref="K12:S12"/>
    <mergeCell ref="M13:O13"/>
    <mergeCell ref="AE78:AF78"/>
    <mergeCell ref="Y3:AA3"/>
    <mergeCell ref="H75:I75"/>
    <mergeCell ref="E75:F75"/>
    <mergeCell ref="E74:F74"/>
    <mergeCell ref="G13:I13"/>
    <mergeCell ref="D14:F14"/>
    <mergeCell ref="G14:I14"/>
    <mergeCell ref="H74:I74"/>
    <mergeCell ref="D13:F13"/>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r:id="rId2"/>
  <headerFooter>
    <oddFooter>&amp;L&amp;"Arial Narrow,Gras"&amp;8Ministère de l’Environnement, de la Lutte contre les changements climatiques, de la Faune et des Parcs&amp;R&amp;"Arial Narrow,Normal"&amp;8 2023-05-25</oddFooter>
  </headerFooter>
  <drawing r:id="rId1"/>
</worksheet>
</file>

<file path=xl/worksheets/sheet7.xml><?xml version="1.0" encoding="utf-8"?>
<worksheet xmlns="http://schemas.openxmlformats.org/spreadsheetml/2006/main" xmlns:r="http://schemas.openxmlformats.org/officeDocument/2006/relationships">
  <sheetPr codeName="Feuil6">
    <pageSetUpPr fitToPage="1"/>
  </sheetPr>
  <dimension ref="A3:AP59"/>
  <sheetViews>
    <sheetView showGridLines="0" showRowColHeaders="0" showOutlineSymbols="0" zoomScale="90" zoomScaleNormal="90" zoomScalePageLayoutView="0" workbookViewId="0" topLeftCell="A1">
      <selection activeCell="A16" sqref="A16"/>
    </sheetView>
  </sheetViews>
  <sheetFormatPr defaultColWidth="11.421875" defaultRowHeight="12.75"/>
  <cols>
    <col min="1" max="1" width="8.57421875" style="0" customWidth="1"/>
    <col min="2" max="2" width="29.8515625" style="0" customWidth="1"/>
    <col min="3" max="3" width="10.57421875" style="0" customWidth="1"/>
    <col min="4" max="4" width="16.8515625" style="0" customWidth="1"/>
    <col min="5" max="5" width="7.57421875" style="0" customWidth="1"/>
    <col min="6" max="6" width="17.140625" style="0" customWidth="1"/>
    <col min="7" max="8" width="6.00390625" style="0" customWidth="1"/>
    <col min="9" max="9" width="8.00390625" style="0" customWidth="1"/>
    <col min="10" max="10" width="10.8515625" style="0" customWidth="1"/>
    <col min="11" max="11" width="9.574218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421875" style="0" customWidth="1"/>
    <col min="26" max="26" width="4.57421875" style="0" customWidth="1"/>
    <col min="27" max="27" width="24.57421875" style="0" customWidth="1"/>
    <col min="28" max="31" width="9.57421875" style="0" customWidth="1"/>
    <col min="32" max="32" width="7.8515625" style="315" hidden="1" customWidth="1"/>
    <col min="33" max="40" width="11.421875" style="315" hidden="1" customWidth="1"/>
    <col min="41" max="42" width="11.421875" style="315" customWidth="1"/>
  </cols>
  <sheetData>
    <row r="1" ht="12.75"/>
    <row r="2" ht="18.75" customHeight="1"/>
    <row r="3" ht="20.25" customHeight="1">
      <c r="AB3" s="30"/>
    </row>
    <row r="4" ht="12.75" customHeight="1">
      <c r="AB4" s="30"/>
    </row>
    <row r="5" spans="1:28" ht="15.75">
      <c r="A5" s="42"/>
      <c r="AB5" s="30"/>
    </row>
    <row r="6" spans="1:28" ht="15.75">
      <c r="A6" s="42"/>
      <c r="AB6" s="30"/>
    </row>
    <row r="7" spans="1:31" ht="15.75">
      <c r="A7" s="42"/>
      <c r="U7" s="31"/>
      <c r="V7" s="30"/>
      <c r="W7" s="30"/>
      <c r="X7" s="30"/>
      <c r="Y7" s="30"/>
      <c r="Z7" s="30"/>
      <c r="AA7" s="32"/>
      <c r="AB7" s="32"/>
      <c r="AC7" s="32"/>
      <c r="AD7" s="30"/>
      <c r="AE7" s="30"/>
    </row>
    <row r="8" spans="1:31" ht="12.75">
      <c r="A8" s="291"/>
      <c r="B8" s="447" t="s">
        <v>1144</v>
      </c>
      <c r="C8" s="1095">
        <f>IF('2. Plan d''implantation'!C8="","",'2. Plan d''implantation'!C8)</f>
      </c>
      <c r="D8" s="1095"/>
      <c r="E8" s="1095"/>
      <c r="F8" s="1095"/>
      <c r="G8" s="1095"/>
      <c r="H8" s="1095"/>
      <c r="S8" s="30"/>
      <c r="Z8" s="44" t="s">
        <v>155</v>
      </c>
      <c r="AA8" s="1016" t="str">
        <f>IF('2. Plan d''implantation'!AB8="","",'2. Plan d''implantation'!AB8)</f>
        <v> </v>
      </c>
      <c r="AB8" s="1016"/>
      <c r="AC8" s="1016"/>
      <c r="AD8" s="1016"/>
      <c r="AE8" s="1016"/>
    </row>
    <row r="9" spans="1:30" ht="12.75">
      <c r="A9" s="291"/>
      <c r="B9" s="447" t="s">
        <v>1149</v>
      </c>
      <c r="C9" s="1096">
        <f>IF('2. Plan d''implantation'!C9="","",'2. Plan d''implantation'!C9)</f>
      </c>
      <c r="D9" s="1096"/>
      <c r="Z9" s="44" t="s">
        <v>463</v>
      </c>
      <c r="AA9" s="949"/>
      <c r="AB9" s="949"/>
      <c r="AC9" s="33"/>
      <c r="AD9" s="33"/>
    </row>
    <row r="10" spans="7:29" ht="12.75">
      <c r="G10" s="31"/>
      <c r="H10" s="31"/>
      <c r="M10" s="33"/>
      <c r="N10" s="33"/>
      <c r="O10" s="33"/>
      <c r="T10" s="30"/>
      <c r="U10" s="30"/>
      <c r="AA10" s="34"/>
      <c r="AB10" s="293"/>
      <c r="AC10" s="34"/>
    </row>
    <row r="11" spans="1:42" s="120" customFormat="1" ht="21" customHeight="1">
      <c r="A11" s="1101" t="s">
        <v>133</v>
      </c>
      <c r="B11" s="1101"/>
      <c r="C11" s="1101"/>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2"/>
      <c r="AB11" s="1097" t="s">
        <v>1145</v>
      </c>
      <c r="AC11" s="1098"/>
      <c r="AD11" s="1098"/>
      <c r="AE11" s="1099"/>
      <c r="AF11" s="317" t="b">
        <v>1</v>
      </c>
      <c r="AG11" s="317" t="b">
        <v>1</v>
      </c>
      <c r="AH11" s="317"/>
      <c r="AI11" s="317"/>
      <c r="AJ11" s="317"/>
      <c r="AK11" s="317"/>
      <c r="AL11" s="317"/>
      <c r="AM11" s="317"/>
      <c r="AN11" s="317"/>
      <c r="AO11" s="317"/>
      <c r="AP11" s="317"/>
    </row>
    <row r="12" spans="1:42" s="120" customFormat="1" ht="35.25" customHeight="1">
      <c r="A12" s="1017" t="s">
        <v>978</v>
      </c>
      <c r="B12" s="1011" t="s">
        <v>134</v>
      </c>
      <c r="C12" s="1011" t="s">
        <v>277</v>
      </c>
      <c r="D12" s="1011" t="s">
        <v>278</v>
      </c>
      <c r="E12" s="1017" t="s">
        <v>281</v>
      </c>
      <c r="F12" s="1042" t="s">
        <v>271</v>
      </c>
      <c r="G12" s="1043"/>
      <c r="H12" s="1043"/>
      <c r="I12" s="1043"/>
      <c r="J12" s="1043"/>
      <c r="K12" s="1044"/>
      <c r="L12" s="1034" t="s">
        <v>959</v>
      </c>
      <c r="M12" s="1034"/>
      <c r="N12" s="1034"/>
      <c r="O12" s="1034"/>
      <c r="P12" s="1035"/>
      <c r="Q12" s="1033" t="s">
        <v>135</v>
      </c>
      <c r="R12" s="1034"/>
      <c r="S12" s="1034"/>
      <c r="T12" s="1035"/>
      <c r="U12" s="1042" t="s">
        <v>273</v>
      </c>
      <c r="V12" s="1050"/>
      <c r="W12" s="1033" t="s">
        <v>981</v>
      </c>
      <c r="X12" s="1035"/>
      <c r="Y12" s="1021" t="s">
        <v>982</v>
      </c>
      <c r="Z12" s="1021" t="s">
        <v>108</v>
      </c>
      <c r="AA12" s="1011" t="s">
        <v>136</v>
      </c>
      <c r="AB12" s="1033" t="s">
        <v>154</v>
      </c>
      <c r="AC12" s="1035"/>
      <c r="AD12" s="1042" t="s">
        <v>987</v>
      </c>
      <c r="AE12" s="1100"/>
      <c r="AF12" s="317"/>
      <c r="AG12" s="317"/>
      <c r="AH12" s="317"/>
      <c r="AI12" s="317"/>
      <c r="AJ12" s="317"/>
      <c r="AK12" s="317"/>
      <c r="AL12" s="317"/>
      <c r="AM12" s="317"/>
      <c r="AN12" s="317"/>
      <c r="AO12" s="317"/>
      <c r="AP12" s="317"/>
    </row>
    <row r="13" spans="1:42" s="120" customFormat="1" ht="12.75" customHeight="1">
      <c r="A13" s="1036"/>
      <c r="B13" s="1038"/>
      <c r="C13" s="1012"/>
      <c r="D13" s="1012"/>
      <c r="E13" s="1012"/>
      <c r="F13" s="1040" t="s">
        <v>979</v>
      </c>
      <c r="G13" s="1018" t="s">
        <v>119</v>
      </c>
      <c r="H13" s="1025" t="s">
        <v>924</v>
      </c>
      <c r="I13" s="1040" t="s">
        <v>107</v>
      </c>
      <c r="J13" s="1025" t="s">
        <v>986</v>
      </c>
      <c r="K13" s="1014" t="s">
        <v>936</v>
      </c>
      <c r="L13" s="1014" t="s">
        <v>107</v>
      </c>
      <c r="M13" s="1014" t="s">
        <v>164</v>
      </c>
      <c r="N13" s="1014" t="s">
        <v>138</v>
      </c>
      <c r="O13" s="1014" t="s">
        <v>922</v>
      </c>
      <c r="P13" s="1014" t="s">
        <v>923</v>
      </c>
      <c r="Q13" s="1045" t="s">
        <v>139</v>
      </c>
      <c r="R13" s="1046"/>
      <c r="S13" s="1047"/>
      <c r="T13" s="1014" t="s">
        <v>140</v>
      </c>
      <c r="U13" s="1014" t="s">
        <v>141</v>
      </c>
      <c r="V13" s="1025" t="s">
        <v>988</v>
      </c>
      <c r="W13" s="1025" t="s">
        <v>142</v>
      </c>
      <c r="X13" s="1025" t="s">
        <v>143</v>
      </c>
      <c r="Y13" s="1028"/>
      <c r="Z13" s="1048"/>
      <c r="AA13" s="1012"/>
      <c r="AB13" s="1014" t="s">
        <v>107</v>
      </c>
      <c r="AC13" s="1025" t="s">
        <v>267</v>
      </c>
      <c r="AD13" s="1025" t="s">
        <v>107</v>
      </c>
      <c r="AE13" s="1025" t="s">
        <v>461</v>
      </c>
      <c r="AF13" s="317"/>
      <c r="AG13" s="317"/>
      <c r="AH13" s="317"/>
      <c r="AI13" s="317"/>
      <c r="AJ13" s="317"/>
      <c r="AK13" s="317"/>
      <c r="AL13" s="317"/>
      <c r="AM13" s="317"/>
      <c r="AN13" s="317"/>
      <c r="AO13" s="317"/>
      <c r="AP13" s="317"/>
    </row>
    <row r="14" spans="1:42" s="120" customFormat="1" ht="21.75" customHeight="1">
      <c r="A14" s="1037"/>
      <c r="B14" s="1039"/>
      <c r="C14" s="1013"/>
      <c r="D14" s="1013"/>
      <c r="E14" s="1013"/>
      <c r="F14" s="1041"/>
      <c r="G14" s="1019"/>
      <c r="H14" s="1041"/>
      <c r="I14" s="1026"/>
      <c r="J14" s="1026"/>
      <c r="K14" s="1015"/>
      <c r="L14" s="1015"/>
      <c r="M14" s="1015"/>
      <c r="N14" s="1015"/>
      <c r="O14" s="1015"/>
      <c r="P14" s="1015"/>
      <c r="Q14" s="464" t="s">
        <v>274</v>
      </c>
      <c r="R14" s="464" t="s">
        <v>275</v>
      </c>
      <c r="S14" s="464" t="s">
        <v>276</v>
      </c>
      <c r="T14" s="1024"/>
      <c r="U14" s="1024"/>
      <c r="V14" s="1026"/>
      <c r="W14" s="1041"/>
      <c r="X14" s="1041"/>
      <c r="Y14" s="1029"/>
      <c r="Z14" s="1049"/>
      <c r="AA14" s="1013"/>
      <c r="AB14" s="1015"/>
      <c r="AC14" s="1041"/>
      <c r="AD14" s="1041"/>
      <c r="AE14" s="1041"/>
      <c r="AF14" s="317"/>
      <c r="AG14" s="317"/>
      <c r="AH14" s="317"/>
      <c r="AI14" s="317"/>
      <c r="AJ14" s="317"/>
      <c r="AK14" s="317"/>
      <c r="AL14" s="317"/>
      <c r="AM14" s="317"/>
      <c r="AN14" s="317"/>
      <c r="AO14" s="317"/>
      <c r="AP14" s="317"/>
    </row>
    <row r="15" spans="1:40" s="120" customFormat="1" ht="21.75" customHeight="1" hidden="1">
      <c r="A15" s="306" t="s">
        <v>780</v>
      </c>
      <c r="B15" s="307" t="s">
        <v>134</v>
      </c>
      <c r="C15" s="305" t="s">
        <v>277</v>
      </c>
      <c r="D15" s="305" t="s">
        <v>278</v>
      </c>
      <c r="E15" s="305" t="s">
        <v>779</v>
      </c>
      <c r="F15" s="259" t="s">
        <v>781</v>
      </c>
      <c r="G15" s="312" t="s">
        <v>782</v>
      </c>
      <c r="H15" s="312" t="s">
        <v>925</v>
      </c>
      <c r="I15" s="306" t="s">
        <v>785</v>
      </c>
      <c r="J15" s="306" t="s">
        <v>783</v>
      </c>
      <c r="K15" s="305" t="s">
        <v>784</v>
      </c>
      <c r="L15" s="305" t="s">
        <v>786</v>
      </c>
      <c r="M15" s="305" t="s">
        <v>787</v>
      </c>
      <c r="N15" s="305" t="s">
        <v>206</v>
      </c>
      <c r="O15" s="305" t="s">
        <v>266</v>
      </c>
      <c r="P15" s="305" t="s">
        <v>788</v>
      </c>
      <c r="Q15" s="259" t="s">
        <v>789</v>
      </c>
      <c r="R15" s="259" t="s">
        <v>790</v>
      </c>
      <c r="S15" s="259" t="s">
        <v>791</v>
      </c>
      <c r="T15" s="307" t="s">
        <v>792</v>
      </c>
      <c r="U15" s="307" t="s">
        <v>793</v>
      </c>
      <c r="V15" s="306" t="s">
        <v>794</v>
      </c>
      <c r="W15" s="259" t="s">
        <v>795</v>
      </c>
      <c r="X15" s="259" t="s">
        <v>796</v>
      </c>
      <c r="Y15" s="311" t="s">
        <v>170</v>
      </c>
      <c r="Z15" s="310" t="s">
        <v>797</v>
      </c>
      <c r="AA15" s="305" t="s">
        <v>136</v>
      </c>
      <c r="AB15" s="305" t="s">
        <v>202</v>
      </c>
      <c r="AC15" s="259" t="s">
        <v>203</v>
      </c>
      <c r="AD15" s="259" t="s">
        <v>204</v>
      </c>
      <c r="AE15" s="259" t="s">
        <v>205</v>
      </c>
      <c r="AF15" s="317" t="s">
        <v>803</v>
      </c>
      <c r="AG15" s="317" t="s">
        <v>804</v>
      </c>
      <c r="AH15" s="317" t="s">
        <v>805</v>
      </c>
      <c r="AI15" s="317" t="s">
        <v>806</v>
      </c>
      <c r="AJ15" s="317" t="s">
        <v>84</v>
      </c>
      <c r="AK15" s="317" t="s">
        <v>807</v>
      </c>
      <c r="AL15" t="s">
        <v>89</v>
      </c>
      <c r="AM15" t="s">
        <v>726</v>
      </c>
      <c r="AN15" t="s">
        <v>358</v>
      </c>
    </row>
    <row r="16" spans="1:42" ht="15.75" customHeight="1">
      <c r="A16" s="36"/>
      <c r="B16" s="37"/>
      <c r="C16" s="37" t="s">
        <v>189</v>
      </c>
      <c r="D16" s="37"/>
      <c r="E16" s="37" t="s">
        <v>189</v>
      </c>
      <c r="F16" s="37"/>
      <c r="G16" s="252">
        <f aca="true" ca="1" t="shared" si="0" ref="G16:G49">IF(F16="","",IF(OR($E16="choisir…",$E16="Aucun"),"",INDEX(OFFSET(INDIRECT($E16),,1),MATCH($F16,INDIRECT($E16),0))))</f>
      </c>
      <c r="H16" s="373"/>
      <c r="I16" s="254"/>
      <c r="J16" s="37"/>
      <c r="K16" s="271"/>
      <c r="L16" s="254"/>
      <c r="M16" s="269"/>
      <c r="N16" s="375"/>
      <c r="O16" s="253">
        <f aca="true" ca="1" t="shared" si="1" ref="O16:O49">IF(L16="","",IF(OR(E16&lt;&gt;"Énergie",F16=""),0,INDEX(OFFSET(INDIRECT($E16),,2),MATCH($F16,INDIRECT($E16),0)))*L16/1000*IF(AND(E16="Énergie",F16&lt;&gt;""),IF(AND(INDEX(OFFSET(Énergie,,8,,),MATCH(F16,Énergie,0))=1,H16&lt;&gt;""),IF(H16=1,0,1-1.1676*H16),IF(AND(INDEX(OFFSET(Énergie,,8,,),MATCH(F16,Énergie,0))=2,H16&lt;&gt;""),1-H16,1)),1))</f>
      </c>
      <c r="P16" s="256">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8">
        <v>0</v>
      </c>
      <c r="R16" s="378">
        <v>0</v>
      </c>
      <c r="S16" s="378">
        <v>0</v>
      </c>
      <c r="T16" s="379"/>
      <c r="U16" s="378"/>
      <c r="V16" s="36" t="s">
        <v>189</v>
      </c>
      <c r="W16" s="71"/>
      <c r="X16" s="71"/>
      <c r="Y16" s="382"/>
      <c r="Z16" s="382"/>
      <c r="AA16" s="36"/>
      <c r="AB16" s="254"/>
      <c r="AC16" s="256">
        <f aca="true" ca="1" t="shared" si="3" ref="AC16:AC49">IF(AB16="","",IF(OR($E16="choisir…",$E16="Aucun"),0,INDEX(OFFSET(INDIRECT($E16),,3),MATCH($F16,INDIRECT($E16),0)))*AB16/1000000)</f>
      </c>
      <c r="AD16" s="253">
        <f aca="true" t="shared" si="4" ref="AD16:AD49">IF(AB16="","",AB16-L16)</f>
      </c>
      <c r="AE16" s="268">
        <f>IF(AB16="","",AD16/AB16)</f>
      </c>
      <c r="AF16" s="315">
        <f aca="true" ca="1" t="shared" si="5" ref="AF16:AF49">IF(C16&lt;&gt;"Choisir…",INDEX(OFFSET(Volet,,-1,,),MATCH(C16,Volet,0)),"")</f>
      </c>
      <c r="AG16" s="360">
        <f ca="1">IF(C16&lt;&gt;"Choisir…",INDEX(OFFSET(INDIRECT(C16),,-1,,),MATCH(D16,INDIRECT(C16),0)),"")</f>
      </c>
      <c r="AH16" s="315">
        <f aca="true" ca="1" t="shared" si="6" ref="AH16:AH49">IF(E16&lt;&gt;"Choisir…",INDEX(OFFSET(Type_emission,,-1,,),MATCH(E16,Type_emission,0)),"")</f>
      </c>
      <c r="AI16" s="315">
        <f aca="true" ca="1" t="shared" si="7" ref="AI16:AI49">IF(F16="","",INDEX(OFFSET(IF(E16="Énergie",Énergie,IF(E16="Fugitive",PRP,"")),,-1,,),MATCH(F16,IF(E16="Énergie",Énergie,IF(E16="Fugitive",PRP,"")),0)))</f>
      </c>
      <c r="AJ16" s="315">
        <f aca="true" ca="1" t="shared" si="8" ref="AJ16:AJ49">IF(AND(E16="Énergie",F16&lt;&gt;""),INDEX(OFFSET(Énergie,,22,,),MATCH(F16,Énergie,0)),0)*L16</f>
        <v>0</v>
      </c>
      <c r="AK16" s="315">
        <f aca="true" ca="1" t="shared" si="9" ref="AK16:AK49">IF(V16&lt;&gt;"Choisir…",INDEX(OFFSET(Fin_Autre,,-1,,),MATCH(V16,Fin_Autre,0)),"")</f>
      </c>
      <c r="AL16" s="315" t="e">
        <f>CHOOSE(AF16,FALSE,Data!DV$2,IF(Data!DP$2="Transport",FALSE,Data!DV$2),IF(Data!DP$2="Transport",FALSE,Data!DV$2),FALSE,FALSE,Data!DV$2)</f>
        <v>#VALUE!</v>
      </c>
      <c r="AM16" s="315" t="e">
        <f>CHOOSE(AF16,"Affaires",IF(Data!DP$2="agricole","Agricole","Affaires"),IF(Data!DP$2="Agricole","Industriel",Data!DP$2),IF(Data!DP$2="Agricole","Industriel",Data!DP$2),IF(Data!DP$2="Agricole","Agricole","Affaires"),IF(Data!DP$2="Transport","Transport","Affaires"),IF(Data!DP$2="Agricole","Industriel",Data!DP$2))</f>
        <v>#VALUE!</v>
      </c>
      <c r="AN16" s="315">
        <f ca="1">IF(C16="Innovation","1159400",IF(C16="Gestion","1151000",IF(C16="OPTER","1151210",IF(AND(C16="Connaissances",D16="Écoconduite"),"1157170",IF(AND(C16="Conversion",D16="Bioénergies"),"1151240",IF(AND(C16="Conversion",D16="Solaires"),"1151202",INDEX(OFFSET(Type_Entreprise,,2,,),MATCH('1. Demande'!AI$76,Type_Entreprise,0))))))))</f>
        <v>0</v>
      </c>
      <c r="AO16"/>
      <c r="AP16"/>
    </row>
    <row r="17" spans="1:42" ht="15.75" customHeight="1">
      <c r="A17" s="36"/>
      <c r="B17" s="37"/>
      <c r="C17" s="37" t="s">
        <v>189</v>
      </c>
      <c r="D17" s="37"/>
      <c r="E17" s="37" t="s">
        <v>189</v>
      </c>
      <c r="F17" s="37"/>
      <c r="G17" s="252">
        <f ca="1" t="shared" si="0"/>
      </c>
      <c r="H17" s="373"/>
      <c r="I17" s="254"/>
      <c r="J17" s="37"/>
      <c r="K17" s="271"/>
      <c r="L17" s="254"/>
      <c r="M17" s="269"/>
      <c r="N17" s="375"/>
      <c r="O17" s="253">
        <f ca="1" t="shared" si="1"/>
      </c>
      <c r="P17" s="256">
        <f ca="1" t="shared" si="2"/>
      </c>
      <c r="Q17" s="378">
        <v>0</v>
      </c>
      <c r="R17" s="378">
        <v>0</v>
      </c>
      <c r="S17" s="378">
        <v>0</v>
      </c>
      <c r="T17" s="379"/>
      <c r="U17" s="378"/>
      <c r="V17" s="36" t="s">
        <v>189</v>
      </c>
      <c r="W17" s="71"/>
      <c r="X17" s="71"/>
      <c r="Y17" s="382"/>
      <c r="Z17" s="382"/>
      <c r="AA17" s="36"/>
      <c r="AB17" s="254"/>
      <c r="AC17" s="256">
        <f ca="1" t="shared" si="3"/>
      </c>
      <c r="AD17" s="253">
        <f t="shared" si="4"/>
      </c>
      <c r="AE17" s="268">
        <f aca="true" t="shared" si="10" ref="AE17:AE49">IF(AB17="","",AD17/AB17)</f>
      </c>
      <c r="AF17" s="315">
        <f ca="1" t="shared" si="5"/>
      </c>
      <c r="AG17" s="360">
        <f aca="true" ca="1" t="shared" si="11" ref="AG17:AG49">IF(C17&lt;&gt;"Choisir…",INDEX(OFFSET(INDIRECT(C17),,-1,,),MATCH(D17,INDIRECT(C17),0)),"")</f>
      </c>
      <c r="AH17" s="315">
        <f ca="1" t="shared" si="6"/>
      </c>
      <c r="AI17" s="315">
        <f ca="1" t="shared" si="7"/>
      </c>
      <c r="AJ17" s="315">
        <f ca="1" t="shared" si="8"/>
        <v>0</v>
      </c>
      <c r="AK17" s="315">
        <f ca="1" t="shared" si="9"/>
      </c>
      <c r="AL17" s="315" t="e">
        <f>CHOOSE(AF17,FALSE,Data!DV$2,IF(Data!DP$2="Transport",FALSE,Data!DV$2),IF(Data!DP$2="Transport",FALSE,Data!DV$2),FALSE,FALSE,Data!DV$2)</f>
        <v>#VALUE!</v>
      </c>
      <c r="AM17" s="315" t="e">
        <f>CHOOSE(AF17,"Affaires",IF(Data!DP$2="agricole","Agricole","Affaires"),IF(Data!DP$2="Agricole","Industriel",Data!DP$2),IF(Data!DP$2="Agricole","Industriel",Data!DP$2),IF(Data!DP$2="Agricole","Agricole","Affaires"),IF(Data!DP$2="Transport","Transport","Affaires"),IF(Data!DP$2="Agricole","Industriel",Data!DP$2))</f>
        <v>#VALUE!</v>
      </c>
      <c r="AN17" s="315">
        <f ca="1">IF(C17="Innovation","1159400",IF(C17="Gestion","1151000",IF(C17="OPTER","1151210",IF(AND(C17="Connaissances",D17="Écoconduite"),"1157170",IF(AND(C17="Conversion",D17="Bioénergies"),"1151240",IF(AND(C17="Conversion",D17="Solaires"),"1151202",INDEX(OFFSET(Type_Entreprise,,2,,),MATCH('1. Demande'!AI$76,Type_Entreprise,0))))))))</f>
        <v>0</v>
      </c>
      <c r="AO17"/>
      <c r="AP17"/>
    </row>
    <row r="18" spans="1:42" ht="15.75" customHeight="1">
      <c r="A18" s="36"/>
      <c r="B18" s="37"/>
      <c r="C18" s="37" t="s">
        <v>189</v>
      </c>
      <c r="D18" s="37"/>
      <c r="E18" s="37" t="s">
        <v>189</v>
      </c>
      <c r="F18" s="37"/>
      <c r="G18" s="252">
        <f ca="1" t="shared" si="0"/>
      </c>
      <c r="H18" s="373"/>
      <c r="I18" s="254"/>
      <c r="J18" s="37"/>
      <c r="K18" s="271"/>
      <c r="L18" s="254"/>
      <c r="M18" s="269"/>
      <c r="N18" s="375"/>
      <c r="O18" s="253">
        <f ca="1" t="shared" si="1"/>
      </c>
      <c r="P18" s="256">
        <f ca="1" t="shared" si="2"/>
      </c>
      <c r="Q18" s="378">
        <v>0</v>
      </c>
      <c r="R18" s="378">
        <v>0</v>
      </c>
      <c r="S18" s="378">
        <v>0</v>
      </c>
      <c r="T18" s="379"/>
      <c r="U18" s="378"/>
      <c r="V18" s="36" t="s">
        <v>189</v>
      </c>
      <c r="W18" s="71"/>
      <c r="X18" s="71"/>
      <c r="Y18" s="382"/>
      <c r="Z18" s="382"/>
      <c r="AA18" s="36"/>
      <c r="AB18" s="254"/>
      <c r="AC18" s="256">
        <f ca="1" t="shared" si="3"/>
      </c>
      <c r="AD18" s="253">
        <f t="shared" si="4"/>
      </c>
      <c r="AE18" s="268">
        <f t="shared" si="10"/>
      </c>
      <c r="AF18" s="315">
        <f ca="1" t="shared" si="5"/>
      </c>
      <c r="AG18" s="360">
        <f ca="1" t="shared" si="11"/>
      </c>
      <c r="AH18" s="315">
        <f ca="1" t="shared" si="6"/>
      </c>
      <c r="AI18" s="315">
        <f ca="1" t="shared" si="7"/>
      </c>
      <c r="AJ18" s="315">
        <f ca="1" t="shared" si="8"/>
        <v>0</v>
      </c>
      <c r="AK18" s="315">
        <f ca="1" t="shared" si="9"/>
      </c>
      <c r="AL18" s="315" t="e">
        <f>CHOOSE(AF18,FALSE,Data!DV$2,IF(Data!DP$2="Transport",FALSE,Data!DV$2),IF(Data!DP$2="Transport",FALSE,Data!DV$2),FALSE,FALSE,Data!DV$2)</f>
        <v>#VALUE!</v>
      </c>
      <c r="AM18" s="315" t="e">
        <f>CHOOSE(AF18,"Affaires",IF(Data!DP$2="agricole","Agricole","Affaires"),IF(Data!DP$2="Agricole","Industriel",Data!DP$2),IF(Data!DP$2="Agricole","Industriel",Data!DP$2),IF(Data!DP$2="Agricole","Agricole","Affaires"),IF(Data!DP$2="Transport","Transport","Affaires"),IF(Data!DP$2="Agricole","Industriel",Data!DP$2))</f>
        <v>#VALUE!</v>
      </c>
      <c r="AN18" s="315">
        <f ca="1">IF(C18="Innovation","1159400",IF(C18="Gestion","1151000",IF(C18="OPTER","1151210",IF(AND(C18="Connaissances",D18="Écoconduite"),"1157170",IF(AND(C18="Conversion",D18="Bioénergies"),"1151240",IF(AND(C18="Conversion",D18="Solaires"),"1151202",INDEX(OFFSET(Type_Entreprise,,2,,),MATCH('1. Demande'!AI$76,Type_Entreprise,0))))))))</f>
        <v>0</v>
      </c>
      <c r="AO18"/>
      <c r="AP18"/>
    </row>
    <row r="19" spans="1:42" ht="15.75" customHeight="1">
      <c r="A19" s="36"/>
      <c r="B19" s="37"/>
      <c r="C19" s="37" t="s">
        <v>189</v>
      </c>
      <c r="D19" s="37"/>
      <c r="E19" s="37" t="s">
        <v>189</v>
      </c>
      <c r="F19" s="37"/>
      <c r="G19" s="252">
        <f ca="1" t="shared" si="0"/>
      </c>
      <c r="H19" s="373"/>
      <c r="I19" s="254"/>
      <c r="J19" s="37"/>
      <c r="K19" s="271"/>
      <c r="L19" s="254"/>
      <c r="M19" s="269"/>
      <c r="N19" s="375"/>
      <c r="O19" s="253">
        <f ca="1" t="shared" si="1"/>
      </c>
      <c r="P19" s="256">
        <f ca="1" t="shared" si="2"/>
      </c>
      <c r="Q19" s="378">
        <v>0</v>
      </c>
      <c r="R19" s="378">
        <v>0</v>
      </c>
      <c r="S19" s="378">
        <v>0</v>
      </c>
      <c r="T19" s="379"/>
      <c r="U19" s="378"/>
      <c r="V19" s="36" t="s">
        <v>189</v>
      </c>
      <c r="W19" s="71"/>
      <c r="X19" s="71"/>
      <c r="Y19" s="382"/>
      <c r="Z19" s="382"/>
      <c r="AA19" s="36"/>
      <c r="AB19" s="254"/>
      <c r="AC19" s="256">
        <f ca="1" t="shared" si="3"/>
      </c>
      <c r="AD19" s="253">
        <f t="shared" si="4"/>
      </c>
      <c r="AE19" s="268">
        <f t="shared" si="10"/>
      </c>
      <c r="AF19" s="315">
        <f ca="1" t="shared" si="5"/>
      </c>
      <c r="AG19" s="360">
        <f ca="1" t="shared" si="11"/>
      </c>
      <c r="AH19" s="315">
        <f ca="1" t="shared" si="6"/>
      </c>
      <c r="AI19" s="315">
        <f ca="1" t="shared" si="7"/>
      </c>
      <c r="AJ19" s="315">
        <f ca="1" t="shared" si="8"/>
        <v>0</v>
      </c>
      <c r="AK19" s="315">
        <f ca="1" t="shared" si="9"/>
      </c>
      <c r="AL19" s="315" t="e">
        <f>CHOOSE(AF19,FALSE,Data!DV$2,IF(Data!DP$2="Transport",FALSE,Data!DV$2),IF(Data!DP$2="Transport",FALSE,Data!DV$2),FALSE,FALSE,Data!DV$2)</f>
        <v>#VALUE!</v>
      </c>
      <c r="AM19" s="315" t="e">
        <f>CHOOSE(AF19,"Affaires",IF(Data!DP$2="agricole","Agricole","Affaires"),IF(Data!DP$2="Agricole","Industriel",Data!DP$2),IF(Data!DP$2="Agricole","Industriel",Data!DP$2),IF(Data!DP$2="Agricole","Agricole","Affaires"),IF(Data!DP$2="Transport","Transport","Affaires"),IF(Data!DP$2="Agricole","Industriel",Data!DP$2))</f>
        <v>#VALUE!</v>
      </c>
      <c r="AN19" s="315">
        <f ca="1">IF(C19="Innovation","1159400",IF(C19="Gestion","1151000",IF(C19="OPTER","1151210",IF(AND(C19="Connaissances",D19="Écoconduite"),"1157170",IF(AND(C19="Conversion",D19="Bioénergies"),"1151240",IF(AND(C19="Conversion",D19="Solaires"),"1151202",INDEX(OFFSET(Type_Entreprise,,2,,),MATCH('1. Demande'!AI$76,Type_Entreprise,0))))))))</f>
        <v>0</v>
      </c>
      <c r="AO19"/>
      <c r="AP19"/>
    </row>
    <row r="20" spans="1:42" ht="15.75" customHeight="1">
      <c r="A20" s="36"/>
      <c r="B20" s="37"/>
      <c r="C20" s="37" t="s">
        <v>189</v>
      </c>
      <c r="D20" s="37"/>
      <c r="E20" s="37" t="s">
        <v>189</v>
      </c>
      <c r="F20" s="37"/>
      <c r="G20" s="252">
        <f ca="1" t="shared" si="0"/>
      </c>
      <c r="H20" s="373"/>
      <c r="I20" s="254"/>
      <c r="J20" s="37"/>
      <c r="K20" s="271"/>
      <c r="L20" s="254"/>
      <c r="M20" s="269"/>
      <c r="N20" s="375"/>
      <c r="O20" s="253">
        <f ca="1" t="shared" si="1"/>
      </c>
      <c r="P20" s="256">
        <f ca="1" t="shared" si="2"/>
      </c>
      <c r="Q20" s="378">
        <v>0</v>
      </c>
      <c r="R20" s="378">
        <v>0</v>
      </c>
      <c r="S20" s="378">
        <v>0</v>
      </c>
      <c r="T20" s="379"/>
      <c r="U20" s="378"/>
      <c r="V20" s="36" t="s">
        <v>189</v>
      </c>
      <c r="W20" s="71"/>
      <c r="X20" s="71"/>
      <c r="Y20" s="382"/>
      <c r="Z20" s="382"/>
      <c r="AA20" s="36"/>
      <c r="AB20" s="254"/>
      <c r="AC20" s="256">
        <f ca="1" t="shared" si="3"/>
      </c>
      <c r="AD20" s="253">
        <f t="shared" si="4"/>
      </c>
      <c r="AE20" s="268">
        <f t="shared" si="10"/>
      </c>
      <c r="AF20" s="315">
        <f ca="1" t="shared" si="5"/>
      </c>
      <c r="AG20" s="360">
        <f ca="1" t="shared" si="11"/>
      </c>
      <c r="AH20" s="315">
        <f ca="1" t="shared" si="6"/>
      </c>
      <c r="AI20" s="315">
        <f ca="1" t="shared" si="7"/>
      </c>
      <c r="AJ20" s="315">
        <f ca="1" t="shared" si="8"/>
        <v>0</v>
      </c>
      <c r="AK20" s="315">
        <f ca="1" t="shared" si="9"/>
      </c>
      <c r="AL20" s="315" t="e">
        <f>CHOOSE(AF20,FALSE,Data!DV$2,IF(Data!DP$2="Transport",FALSE,Data!DV$2),IF(Data!DP$2="Transport",FALSE,Data!DV$2),FALSE,FALSE,Data!DV$2)</f>
        <v>#VALUE!</v>
      </c>
      <c r="AM20" s="315" t="e">
        <f>CHOOSE(AF20,"Affaires",IF(Data!DP$2="agricole","Agricole","Affaires"),IF(Data!DP$2="Agricole","Industriel",Data!DP$2),IF(Data!DP$2="Agricole","Industriel",Data!DP$2),IF(Data!DP$2="Agricole","Agricole","Affaires"),IF(Data!DP$2="Transport","Transport","Affaires"),IF(Data!DP$2="Agricole","Industriel",Data!DP$2))</f>
        <v>#VALUE!</v>
      </c>
      <c r="AN20" s="315">
        <f ca="1">IF(C20="Innovation","1159400",IF(C20="Gestion","1151000",IF(C20="OPTER","1151210",IF(AND(C20="Connaissances",D20="Écoconduite"),"1157170",IF(AND(C20="Conversion",D20="Bioénergies"),"1151240",IF(AND(C20="Conversion",D20="Solaires"),"1151202",INDEX(OFFSET(Type_Entreprise,,2,,),MATCH('1. Demande'!AI$76,Type_Entreprise,0))))))))</f>
        <v>0</v>
      </c>
      <c r="AO20"/>
      <c r="AP20"/>
    </row>
    <row r="21" spans="1:42" ht="15.75" customHeight="1">
      <c r="A21" s="36"/>
      <c r="B21" s="37"/>
      <c r="C21" s="37" t="s">
        <v>189</v>
      </c>
      <c r="D21" s="37"/>
      <c r="E21" s="37" t="s">
        <v>189</v>
      </c>
      <c r="F21" s="37"/>
      <c r="G21" s="252">
        <f ca="1" t="shared" si="0"/>
      </c>
      <c r="H21" s="373"/>
      <c r="I21" s="254"/>
      <c r="J21" s="37"/>
      <c r="K21" s="271"/>
      <c r="L21" s="254"/>
      <c r="M21" s="269"/>
      <c r="N21" s="375"/>
      <c r="O21" s="253">
        <f ca="1" t="shared" si="1"/>
      </c>
      <c r="P21" s="256">
        <f ca="1" t="shared" si="2"/>
      </c>
      <c r="Q21" s="378">
        <v>0</v>
      </c>
      <c r="R21" s="378">
        <v>0</v>
      </c>
      <c r="S21" s="378">
        <v>0</v>
      </c>
      <c r="T21" s="379"/>
      <c r="U21" s="378"/>
      <c r="V21" s="36" t="s">
        <v>189</v>
      </c>
      <c r="W21" s="71"/>
      <c r="X21" s="71"/>
      <c r="Y21" s="382"/>
      <c r="Z21" s="382"/>
      <c r="AA21" s="36"/>
      <c r="AB21" s="254"/>
      <c r="AC21" s="256">
        <f ca="1" t="shared" si="3"/>
      </c>
      <c r="AD21" s="253">
        <f t="shared" si="4"/>
      </c>
      <c r="AE21" s="268">
        <f t="shared" si="10"/>
      </c>
      <c r="AF21" s="315">
        <f ca="1" t="shared" si="5"/>
      </c>
      <c r="AG21" s="360">
        <f ca="1" t="shared" si="11"/>
      </c>
      <c r="AH21" s="315">
        <f ca="1" t="shared" si="6"/>
      </c>
      <c r="AI21" s="315">
        <f ca="1" t="shared" si="7"/>
      </c>
      <c r="AJ21" s="315">
        <f ca="1" t="shared" si="8"/>
        <v>0</v>
      </c>
      <c r="AK21" s="315">
        <f ca="1" t="shared" si="9"/>
      </c>
      <c r="AL21" s="315" t="e">
        <f>CHOOSE(AF21,FALSE,Data!DV$2,IF(Data!DP$2="Transport",FALSE,Data!DV$2),IF(Data!DP$2="Transport",FALSE,Data!DV$2),FALSE,FALSE,Data!DV$2)</f>
        <v>#VALUE!</v>
      </c>
      <c r="AM21" s="315" t="e">
        <f>CHOOSE(AF21,"Affaires",IF(Data!DP$2="agricole","Agricole","Affaires"),IF(Data!DP$2="Agricole","Industriel",Data!DP$2),IF(Data!DP$2="Agricole","Industriel",Data!DP$2),IF(Data!DP$2="Agricole","Agricole","Affaires"),IF(Data!DP$2="Transport","Transport","Affaires"),IF(Data!DP$2="Agricole","Industriel",Data!DP$2))</f>
        <v>#VALUE!</v>
      </c>
      <c r="AN21" s="315">
        <f ca="1">IF(C21="Innovation","1159400",IF(C21="Gestion","1151000",IF(C21="OPTER","1151210",IF(AND(C21="Connaissances",D21="Écoconduite"),"1157170",IF(AND(C21="Conversion",D21="Bioénergies"),"1151240",IF(AND(C21="Conversion",D21="Solaires"),"1151202",INDEX(OFFSET(Type_Entreprise,,2,,),MATCH('1. Demande'!AI$76,Type_Entreprise,0))))))))</f>
        <v>0</v>
      </c>
      <c r="AO21"/>
      <c r="AP21"/>
    </row>
    <row r="22" spans="1:42" ht="15.75" customHeight="1">
      <c r="A22" s="36"/>
      <c r="B22" s="37"/>
      <c r="C22" s="37" t="s">
        <v>189</v>
      </c>
      <c r="D22" s="37"/>
      <c r="E22" s="37" t="s">
        <v>189</v>
      </c>
      <c r="F22" s="37"/>
      <c r="G22" s="252">
        <f ca="1" t="shared" si="0"/>
      </c>
      <c r="H22" s="373"/>
      <c r="I22" s="254"/>
      <c r="J22" s="37"/>
      <c r="K22" s="271"/>
      <c r="L22" s="254"/>
      <c r="M22" s="269"/>
      <c r="N22" s="375"/>
      <c r="O22" s="253">
        <f ca="1" t="shared" si="1"/>
      </c>
      <c r="P22" s="256">
        <f ca="1" t="shared" si="2"/>
      </c>
      <c r="Q22" s="378">
        <v>0</v>
      </c>
      <c r="R22" s="378">
        <v>0</v>
      </c>
      <c r="S22" s="378">
        <v>0</v>
      </c>
      <c r="T22" s="379"/>
      <c r="U22" s="378"/>
      <c r="V22" s="36" t="s">
        <v>189</v>
      </c>
      <c r="W22" s="71"/>
      <c r="X22" s="71"/>
      <c r="Y22" s="382"/>
      <c r="Z22" s="382"/>
      <c r="AA22" s="36"/>
      <c r="AB22" s="254"/>
      <c r="AC22" s="256">
        <f ca="1" t="shared" si="3"/>
      </c>
      <c r="AD22" s="253">
        <f t="shared" si="4"/>
      </c>
      <c r="AE22" s="268">
        <f t="shared" si="10"/>
      </c>
      <c r="AF22" s="315">
        <f ca="1" t="shared" si="5"/>
      </c>
      <c r="AG22" s="360">
        <f ca="1" t="shared" si="11"/>
      </c>
      <c r="AH22" s="315">
        <f ca="1" t="shared" si="6"/>
      </c>
      <c r="AI22" s="315">
        <f ca="1" t="shared" si="7"/>
      </c>
      <c r="AJ22" s="315">
        <f ca="1" t="shared" si="8"/>
        <v>0</v>
      </c>
      <c r="AK22" s="315">
        <f ca="1" t="shared" si="9"/>
      </c>
      <c r="AL22" s="315" t="e">
        <f>CHOOSE(AF22,FALSE,Data!DV$2,IF(Data!DP$2="Transport",FALSE,Data!DV$2),IF(Data!DP$2="Transport",FALSE,Data!DV$2),FALSE,FALSE,Data!DV$2)</f>
        <v>#VALUE!</v>
      </c>
      <c r="AM22" s="315" t="e">
        <f>CHOOSE(AF22,"Affaires",IF(Data!DP$2="agricole","Agricole","Affaires"),IF(Data!DP$2="Agricole","Industriel",Data!DP$2),IF(Data!DP$2="Agricole","Industriel",Data!DP$2),IF(Data!DP$2="Agricole","Agricole","Affaires"),IF(Data!DP$2="Transport","Transport","Affaires"),IF(Data!DP$2="Agricole","Industriel",Data!DP$2))</f>
        <v>#VALUE!</v>
      </c>
      <c r="AN22" s="315">
        <f ca="1">IF(C22="Innovation","1159400",IF(C22="Gestion","1151000",IF(C22="OPTER","1151210",IF(AND(C22="Connaissances",D22="Écoconduite"),"1157170",IF(AND(C22="Conversion",D22="Bioénergies"),"1151240",IF(AND(C22="Conversion",D22="Solaires"),"1151202",INDEX(OFFSET(Type_Entreprise,,2,,),MATCH('1. Demande'!AI$76,Type_Entreprise,0))))))))</f>
        <v>0</v>
      </c>
      <c r="AO22"/>
      <c r="AP22"/>
    </row>
    <row r="23" spans="1:42" ht="15.75" customHeight="1">
      <c r="A23" s="36"/>
      <c r="B23" s="37"/>
      <c r="C23" s="37" t="s">
        <v>189</v>
      </c>
      <c r="D23" s="37"/>
      <c r="E23" s="37" t="s">
        <v>189</v>
      </c>
      <c r="F23" s="37"/>
      <c r="G23" s="252">
        <f ca="1" t="shared" si="0"/>
      </c>
      <c r="H23" s="373"/>
      <c r="I23" s="254"/>
      <c r="J23" s="37"/>
      <c r="K23" s="271"/>
      <c r="L23" s="254"/>
      <c r="M23" s="269"/>
      <c r="N23" s="375"/>
      <c r="O23" s="253">
        <f ca="1" t="shared" si="1"/>
      </c>
      <c r="P23" s="256">
        <f ca="1" t="shared" si="2"/>
      </c>
      <c r="Q23" s="378">
        <v>0</v>
      </c>
      <c r="R23" s="378">
        <v>0</v>
      </c>
      <c r="S23" s="378">
        <v>0</v>
      </c>
      <c r="T23" s="379"/>
      <c r="U23" s="378"/>
      <c r="V23" s="36" t="s">
        <v>189</v>
      </c>
      <c r="W23" s="71"/>
      <c r="X23" s="71"/>
      <c r="Y23" s="382"/>
      <c r="Z23" s="382"/>
      <c r="AA23" s="36"/>
      <c r="AB23" s="254"/>
      <c r="AC23" s="256">
        <f ca="1" t="shared" si="3"/>
      </c>
      <c r="AD23" s="253">
        <f t="shared" si="4"/>
      </c>
      <c r="AE23" s="268">
        <f t="shared" si="10"/>
      </c>
      <c r="AF23" s="315">
        <f ca="1" t="shared" si="5"/>
      </c>
      <c r="AG23" s="360">
        <f ca="1" t="shared" si="11"/>
      </c>
      <c r="AH23" s="315">
        <f ca="1" t="shared" si="6"/>
      </c>
      <c r="AI23" s="315">
        <f ca="1" t="shared" si="7"/>
      </c>
      <c r="AJ23" s="315">
        <f ca="1" t="shared" si="8"/>
        <v>0</v>
      </c>
      <c r="AK23" s="315">
        <f ca="1" t="shared" si="9"/>
      </c>
      <c r="AL23" s="315" t="e">
        <f>CHOOSE(AF23,FALSE,Data!DV$2,IF(Data!DP$2="Transport",FALSE,Data!DV$2),IF(Data!DP$2="Transport",FALSE,Data!DV$2),FALSE,FALSE,Data!DV$2)</f>
        <v>#VALUE!</v>
      </c>
      <c r="AM23" s="315" t="e">
        <f>CHOOSE(AF23,"Affaires",IF(Data!DP$2="agricole","Agricole","Affaires"),IF(Data!DP$2="Agricole","Industriel",Data!DP$2),IF(Data!DP$2="Agricole","Industriel",Data!DP$2),IF(Data!DP$2="Agricole","Agricole","Affaires"),IF(Data!DP$2="Transport","Transport","Affaires"),IF(Data!DP$2="Agricole","Industriel",Data!DP$2))</f>
        <v>#VALUE!</v>
      </c>
      <c r="AN23" s="315">
        <f ca="1">IF(C23="Innovation","1159400",IF(C23="Gestion","1151000",IF(C23="OPTER","1151210",IF(AND(C23="Connaissances",D23="Écoconduite"),"1157170",IF(AND(C23="Conversion",D23="Bioénergies"),"1151240",IF(AND(C23="Conversion",D23="Solaires"),"1151202",INDEX(OFFSET(Type_Entreprise,,2,,),MATCH('1. Demande'!AI$76,Type_Entreprise,0))))))))</f>
        <v>0</v>
      </c>
      <c r="AO23"/>
      <c r="AP23"/>
    </row>
    <row r="24" spans="1:42" ht="15.75" customHeight="1">
      <c r="A24" s="36"/>
      <c r="B24" s="37"/>
      <c r="C24" s="37" t="s">
        <v>189</v>
      </c>
      <c r="D24" s="37"/>
      <c r="E24" s="37" t="s">
        <v>189</v>
      </c>
      <c r="F24" s="37"/>
      <c r="G24" s="252">
        <f ca="1" t="shared" si="0"/>
      </c>
      <c r="H24" s="373"/>
      <c r="I24" s="254"/>
      <c r="J24" s="37"/>
      <c r="K24" s="271"/>
      <c r="L24" s="254"/>
      <c r="M24" s="269"/>
      <c r="N24" s="375"/>
      <c r="O24" s="253">
        <f ca="1" t="shared" si="1"/>
      </c>
      <c r="P24" s="256">
        <f ca="1" t="shared" si="2"/>
      </c>
      <c r="Q24" s="378">
        <v>0</v>
      </c>
      <c r="R24" s="378">
        <v>0</v>
      </c>
      <c r="S24" s="378">
        <v>0</v>
      </c>
      <c r="T24" s="379"/>
      <c r="U24" s="378"/>
      <c r="V24" s="36" t="s">
        <v>189</v>
      </c>
      <c r="W24" s="71"/>
      <c r="X24" s="71"/>
      <c r="Y24" s="382"/>
      <c r="Z24" s="382"/>
      <c r="AA24" s="36"/>
      <c r="AB24" s="254"/>
      <c r="AC24" s="256">
        <f ca="1" t="shared" si="3"/>
      </c>
      <c r="AD24" s="253">
        <f t="shared" si="4"/>
      </c>
      <c r="AE24" s="268">
        <f t="shared" si="10"/>
      </c>
      <c r="AF24" s="315">
        <f ca="1" t="shared" si="5"/>
      </c>
      <c r="AG24" s="360">
        <f ca="1" t="shared" si="11"/>
      </c>
      <c r="AH24" s="315">
        <f ca="1" t="shared" si="6"/>
      </c>
      <c r="AI24" s="315">
        <f ca="1" t="shared" si="7"/>
      </c>
      <c r="AJ24" s="315">
        <f ca="1" t="shared" si="8"/>
        <v>0</v>
      </c>
      <c r="AK24" s="315">
        <f ca="1" t="shared" si="9"/>
      </c>
      <c r="AL24" s="315" t="e">
        <f>CHOOSE(AF24,FALSE,Data!DV$2,IF(Data!DP$2="Transport",FALSE,Data!DV$2),IF(Data!DP$2="Transport",FALSE,Data!DV$2),FALSE,FALSE,Data!DV$2)</f>
        <v>#VALUE!</v>
      </c>
      <c r="AM24" s="315" t="e">
        <f>CHOOSE(AF24,"Affaires",IF(Data!DP$2="agricole","Agricole","Affaires"),IF(Data!DP$2="Agricole","Industriel",Data!DP$2),IF(Data!DP$2="Agricole","Industriel",Data!DP$2),IF(Data!DP$2="Agricole","Agricole","Affaires"),IF(Data!DP$2="Transport","Transport","Affaires"),IF(Data!DP$2="Agricole","Industriel",Data!DP$2))</f>
        <v>#VALUE!</v>
      </c>
      <c r="AN24" s="315">
        <f ca="1">IF(C24="Innovation","1159400",IF(C24="Gestion","1151000",IF(C24="OPTER","1151210",IF(AND(C24="Connaissances",D24="Écoconduite"),"1157170",IF(AND(C24="Conversion",D24="Bioénergies"),"1151240",IF(AND(C24="Conversion",D24="Solaires"),"1151202",INDEX(OFFSET(Type_Entreprise,,2,,),MATCH('1. Demande'!AI$76,Type_Entreprise,0))))))))</f>
        <v>0</v>
      </c>
      <c r="AO24"/>
      <c r="AP24"/>
    </row>
    <row r="25" spans="1:42" ht="15.75" customHeight="1">
      <c r="A25" s="36"/>
      <c r="B25" s="37"/>
      <c r="C25" s="37" t="s">
        <v>189</v>
      </c>
      <c r="D25" s="37"/>
      <c r="E25" s="37" t="s">
        <v>189</v>
      </c>
      <c r="F25" s="37"/>
      <c r="G25" s="252">
        <f ca="1" t="shared" si="0"/>
      </c>
      <c r="H25" s="373"/>
      <c r="I25" s="254"/>
      <c r="J25" s="37"/>
      <c r="K25" s="271"/>
      <c r="L25" s="254"/>
      <c r="M25" s="269"/>
      <c r="N25" s="375"/>
      <c r="O25" s="253">
        <f ca="1" t="shared" si="1"/>
      </c>
      <c r="P25" s="256">
        <f ca="1" t="shared" si="2"/>
      </c>
      <c r="Q25" s="378">
        <v>0</v>
      </c>
      <c r="R25" s="378">
        <v>0</v>
      </c>
      <c r="S25" s="378">
        <v>0</v>
      </c>
      <c r="T25" s="379"/>
      <c r="U25" s="378"/>
      <c r="V25" s="36" t="s">
        <v>189</v>
      </c>
      <c r="W25" s="71"/>
      <c r="X25" s="71"/>
      <c r="Y25" s="382"/>
      <c r="Z25" s="382"/>
      <c r="AA25" s="36"/>
      <c r="AB25" s="254"/>
      <c r="AC25" s="256">
        <f ca="1" t="shared" si="3"/>
      </c>
      <c r="AD25" s="253">
        <f t="shared" si="4"/>
      </c>
      <c r="AE25" s="268">
        <f t="shared" si="10"/>
      </c>
      <c r="AF25" s="315">
        <f ca="1" t="shared" si="5"/>
      </c>
      <c r="AG25" s="360">
        <f ca="1" t="shared" si="11"/>
      </c>
      <c r="AH25" s="315">
        <f ca="1" t="shared" si="6"/>
      </c>
      <c r="AI25" s="315">
        <f ca="1" t="shared" si="7"/>
      </c>
      <c r="AJ25" s="315">
        <f ca="1" t="shared" si="8"/>
        <v>0</v>
      </c>
      <c r="AK25" s="315">
        <f ca="1" t="shared" si="9"/>
      </c>
      <c r="AL25" s="315" t="e">
        <f>CHOOSE(AF25,FALSE,Data!DV$2,IF(Data!DP$2="Transport",FALSE,Data!DV$2),IF(Data!DP$2="Transport",FALSE,Data!DV$2),FALSE,FALSE,Data!DV$2)</f>
        <v>#VALUE!</v>
      </c>
      <c r="AM25" s="315" t="e">
        <f>CHOOSE(AF25,"Affaires",IF(Data!DP$2="agricole","Agricole","Affaires"),IF(Data!DP$2="Agricole","Industriel",Data!DP$2),IF(Data!DP$2="Agricole","Industriel",Data!DP$2),IF(Data!DP$2="Agricole","Agricole","Affaires"),IF(Data!DP$2="Transport","Transport","Affaires"),IF(Data!DP$2="Agricole","Industriel",Data!DP$2))</f>
        <v>#VALUE!</v>
      </c>
      <c r="AN25" s="315">
        <f ca="1">IF(C25="Innovation","1159400",IF(C25="Gestion","1151000",IF(C25="OPTER","1151210",IF(AND(C25="Connaissances",D25="Écoconduite"),"1157170",IF(AND(C25="Conversion",D25="Bioénergies"),"1151240",IF(AND(C25="Conversion",D25="Solaires"),"1151202",INDEX(OFFSET(Type_Entreprise,,2,,),MATCH('1. Demande'!AI$76,Type_Entreprise,0))))))))</f>
        <v>0</v>
      </c>
      <c r="AO25"/>
      <c r="AP25"/>
    </row>
    <row r="26" spans="1:42" ht="15.75" customHeight="1">
      <c r="A26" s="36"/>
      <c r="B26" s="37"/>
      <c r="C26" s="37" t="s">
        <v>189</v>
      </c>
      <c r="D26" s="37"/>
      <c r="E26" s="37" t="s">
        <v>189</v>
      </c>
      <c r="F26" s="37"/>
      <c r="G26" s="252">
        <f ca="1" t="shared" si="0"/>
      </c>
      <c r="H26" s="373"/>
      <c r="I26" s="254"/>
      <c r="J26" s="37"/>
      <c r="K26" s="271"/>
      <c r="L26" s="254"/>
      <c r="M26" s="269"/>
      <c r="N26" s="375"/>
      <c r="O26" s="253">
        <f ca="1" t="shared" si="1"/>
      </c>
      <c r="P26" s="256">
        <f ca="1" t="shared" si="2"/>
      </c>
      <c r="Q26" s="378">
        <v>0</v>
      </c>
      <c r="R26" s="378">
        <v>0</v>
      </c>
      <c r="S26" s="378">
        <v>0</v>
      </c>
      <c r="T26" s="379"/>
      <c r="U26" s="378"/>
      <c r="V26" s="36" t="s">
        <v>189</v>
      </c>
      <c r="W26" s="71"/>
      <c r="X26" s="71"/>
      <c r="Y26" s="382"/>
      <c r="Z26" s="382"/>
      <c r="AA26" s="36"/>
      <c r="AB26" s="254"/>
      <c r="AC26" s="256">
        <f ca="1" t="shared" si="3"/>
      </c>
      <c r="AD26" s="253">
        <f t="shared" si="4"/>
      </c>
      <c r="AE26" s="268">
        <f t="shared" si="10"/>
      </c>
      <c r="AF26" s="315">
        <f ca="1" t="shared" si="5"/>
      </c>
      <c r="AG26" s="360">
        <f ca="1" t="shared" si="11"/>
      </c>
      <c r="AH26" s="315">
        <f ca="1" t="shared" si="6"/>
      </c>
      <c r="AI26" s="315">
        <f ca="1" t="shared" si="7"/>
      </c>
      <c r="AJ26" s="315">
        <f ca="1" t="shared" si="8"/>
        <v>0</v>
      </c>
      <c r="AK26" s="315">
        <f ca="1" t="shared" si="9"/>
      </c>
      <c r="AL26" s="315" t="e">
        <f>CHOOSE(AF26,FALSE,Data!DV$2,IF(Data!DP$2="Transport",FALSE,Data!DV$2),IF(Data!DP$2="Transport",FALSE,Data!DV$2),FALSE,FALSE,Data!DV$2)</f>
        <v>#VALUE!</v>
      </c>
      <c r="AM26" s="315" t="e">
        <f>CHOOSE(AF26,"Affaires",IF(Data!DP$2="agricole","Agricole","Affaires"),IF(Data!DP$2="Agricole","Industriel",Data!DP$2),IF(Data!DP$2="Agricole","Industriel",Data!DP$2),IF(Data!DP$2="Agricole","Agricole","Affaires"),IF(Data!DP$2="Transport","Transport","Affaires"),IF(Data!DP$2="Agricole","Industriel",Data!DP$2))</f>
        <v>#VALUE!</v>
      </c>
      <c r="AN26" s="315">
        <f ca="1">IF(C26="Innovation","1159400",IF(C26="Gestion","1151000",IF(C26="OPTER","1151210",IF(AND(C26="Connaissances",D26="Écoconduite"),"1157170",IF(AND(C26="Conversion",D26="Bioénergies"),"1151240",IF(AND(C26="Conversion",D26="Solaires"),"1151202",INDEX(OFFSET(Type_Entreprise,,2,,),MATCH('1. Demande'!AI$76,Type_Entreprise,0))))))))</f>
        <v>0</v>
      </c>
      <c r="AO26"/>
      <c r="AP26"/>
    </row>
    <row r="27" spans="1:42" ht="15.75" customHeight="1">
      <c r="A27" s="36"/>
      <c r="B27" s="37"/>
      <c r="C27" s="37" t="s">
        <v>189</v>
      </c>
      <c r="D27" s="37"/>
      <c r="E27" s="37" t="s">
        <v>189</v>
      </c>
      <c r="F27" s="37"/>
      <c r="G27" s="252">
        <f ca="1" t="shared" si="0"/>
      </c>
      <c r="H27" s="373"/>
      <c r="I27" s="254"/>
      <c r="J27" s="37"/>
      <c r="K27" s="271"/>
      <c r="L27" s="254"/>
      <c r="M27" s="269"/>
      <c r="N27" s="375"/>
      <c r="O27" s="253">
        <f ca="1" t="shared" si="1"/>
      </c>
      <c r="P27" s="256">
        <f ca="1" t="shared" si="2"/>
      </c>
      <c r="Q27" s="378">
        <v>0</v>
      </c>
      <c r="R27" s="378">
        <v>0</v>
      </c>
      <c r="S27" s="378">
        <v>0</v>
      </c>
      <c r="T27" s="379"/>
      <c r="U27" s="378"/>
      <c r="V27" s="36" t="s">
        <v>189</v>
      </c>
      <c r="W27" s="71"/>
      <c r="X27" s="71"/>
      <c r="Y27" s="382"/>
      <c r="Z27" s="382"/>
      <c r="AA27" s="36"/>
      <c r="AB27" s="254"/>
      <c r="AC27" s="256">
        <f ca="1" t="shared" si="3"/>
      </c>
      <c r="AD27" s="253">
        <f t="shared" si="4"/>
      </c>
      <c r="AE27" s="268">
        <f t="shared" si="10"/>
      </c>
      <c r="AF27" s="315">
        <f ca="1" t="shared" si="5"/>
      </c>
      <c r="AG27" s="360">
        <f ca="1" t="shared" si="11"/>
      </c>
      <c r="AH27" s="315">
        <f ca="1" t="shared" si="6"/>
      </c>
      <c r="AI27" s="315">
        <f ca="1" t="shared" si="7"/>
      </c>
      <c r="AJ27" s="315">
        <f ca="1" t="shared" si="8"/>
        <v>0</v>
      </c>
      <c r="AK27" s="315">
        <f ca="1" t="shared" si="9"/>
      </c>
      <c r="AL27" s="315" t="e">
        <f>CHOOSE(AF27,FALSE,Data!DV$2,IF(Data!DP$2="Transport",FALSE,Data!DV$2),IF(Data!DP$2="Transport",FALSE,Data!DV$2),FALSE,FALSE,Data!DV$2)</f>
        <v>#VALUE!</v>
      </c>
      <c r="AM27" s="315" t="e">
        <f>CHOOSE(AF27,"Affaires",IF(Data!DP$2="agricole","Agricole","Affaires"),IF(Data!DP$2="Agricole","Industriel",Data!DP$2),IF(Data!DP$2="Agricole","Industriel",Data!DP$2),IF(Data!DP$2="Agricole","Agricole","Affaires"),IF(Data!DP$2="Transport","Transport","Affaires"),IF(Data!DP$2="Agricole","Industriel",Data!DP$2))</f>
        <v>#VALUE!</v>
      </c>
      <c r="AN27" s="315">
        <f ca="1">IF(C27="Innovation","1159400",IF(C27="Gestion","1151000",IF(C27="OPTER","1151210",IF(AND(C27="Connaissances",D27="Écoconduite"),"1157170",IF(AND(C27="Conversion",D27="Bioénergies"),"1151240",IF(AND(C27="Conversion",D27="Solaires"),"1151202",INDEX(OFFSET(Type_Entreprise,,2,,),MATCH('1. Demande'!AI$76,Type_Entreprise,0))))))))</f>
        <v>0</v>
      </c>
      <c r="AO27"/>
      <c r="AP27"/>
    </row>
    <row r="28" spans="1:42" ht="15.75" customHeight="1">
      <c r="A28" s="36"/>
      <c r="B28" s="37"/>
      <c r="C28" s="37" t="s">
        <v>189</v>
      </c>
      <c r="D28" s="37"/>
      <c r="E28" s="37" t="s">
        <v>189</v>
      </c>
      <c r="F28" s="37"/>
      <c r="G28" s="252">
        <f ca="1" t="shared" si="0"/>
      </c>
      <c r="H28" s="373"/>
      <c r="I28" s="254"/>
      <c r="J28" s="37"/>
      <c r="K28" s="271"/>
      <c r="L28" s="254"/>
      <c r="M28" s="269"/>
      <c r="N28" s="375"/>
      <c r="O28" s="253">
        <f ca="1" t="shared" si="1"/>
      </c>
      <c r="P28" s="256">
        <f ca="1" t="shared" si="2"/>
      </c>
      <c r="Q28" s="378">
        <v>0</v>
      </c>
      <c r="R28" s="378">
        <v>0</v>
      </c>
      <c r="S28" s="378">
        <v>0</v>
      </c>
      <c r="T28" s="379"/>
      <c r="U28" s="378"/>
      <c r="V28" s="36" t="s">
        <v>189</v>
      </c>
      <c r="W28" s="71"/>
      <c r="X28" s="71"/>
      <c r="Y28" s="382"/>
      <c r="Z28" s="382"/>
      <c r="AA28" s="36"/>
      <c r="AB28" s="254"/>
      <c r="AC28" s="256">
        <f ca="1" t="shared" si="3"/>
      </c>
      <c r="AD28" s="253">
        <f t="shared" si="4"/>
      </c>
      <c r="AE28" s="268">
        <f t="shared" si="10"/>
      </c>
      <c r="AF28" s="315">
        <f ca="1" t="shared" si="5"/>
      </c>
      <c r="AG28" s="360">
        <f ca="1" t="shared" si="11"/>
      </c>
      <c r="AH28" s="315">
        <f ca="1" t="shared" si="6"/>
      </c>
      <c r="AI28" s="315">
        <f ca="1" t="shared" si="7"/>
      </c>
      <c r="AJ28" s="315">
        <f ca="1" t="shared" si="8"/>
        <v>0</v>
      </c>
      <c r="AK28" s="315">
        <f ca="1" t="shared" si="9"/>
      </c>
      <c r="AL28" s="315" t="e">
        <f>CHOOSE(AF28,FALSE,Data!DV$2,IF(Data!DP$2="Transport",FALSE,Data!DV$2),IF(Data!DP$2="Transport",FALSE,Data!DV$2),FALSE,FALSE,Data!DV$2)</f>
        <v>#VALUE!</v>
      </c>
      <c r="AM28" s="315" t="e">
        <f>CHOOSE(AF28,"Affaires",IF(Data!DP$2="agricole","Agricole","Affaires"),IF(Data!DP$2="Agricole","Industriel",Data!DP$2),IF(Data!DP$2="Agricole","Industriel",Data!DP$2),IF(Data!DP$2="Agricole","Agricole","Affaires"),IF(Data!DP$2="Transport","Transport","Affaires"),IF(Data!DP$2="Agricole","Industriel",Data!DP$2))</f>
        <v>#VALUE!</v>
      </c>
      <c r="AN28" s="315">
        <f ca="1">IF(C28="Innovation","1159400",IF(C28="Gestion","1151000",IF(C28="OPTER","1151210",IF(AND(C28="Connaissances",D28="Écoconduite"),"1157170",IF(AND(C28="Conversion",D28="Bioénergies"),"1151240",IF(AND(C28="Conversion",D28="Solaires"),"1151202",INDEX(OFFSET(Type_Entreprise,,2,,),MATCH('1. Demande'!AI$76,Type_Entreprise,0))))))))</f>
        <v>0</v>
      </c>
      <c r="AO28"/>
      <c r="AP28"/>
    </row>
    <row r="29" spans="1:42" ht="15.75" customHeight="1">
      <c r="A29" s="36"/>
      <c r="B29" s="37"/>
      <c r="C29" s="37" t="s">
        <v>189</v>
      </c>
      <c r="D29" s="37"/>
      <c r="E29" s="37" t="s">
        <v>189</v>
      </c>
      <c r="F29" s="37"/>
      <c r="G29" s="252">
        <f ca="1" t="shared" si="0"/>
      </c>
      <c r="H29" s="373"/>
      <c r="I29" s="254"/>
      <c r="J29" s="37"/>
      <c r="K29" s="271"/>
      <c r="L29" s="254"/>
      <c r="M29" s="269"/>
      <c r="N29" s="375"/>
      <c r="O29" s="253">
        <f ca="1" t="shared" si="1"/>
      </c>
      <c r="P29" s="256">
        <f ca="1" t="shared" si="2"/>
      </c>
      <c r="Q29" s="378">
        <v>0</v>
      </c>
      <c r="R29" s="378">
        <v>0</v>
      </c>
      <c r="S29" s="378">
        <v>0</v>
      </c>
      <c r="T29" s="379"/>
      <c r="U29" s="378"/>
      <c r="V29" s="36" t="s">
        <v>189</v>
      </c>
      <c r="W29" s="71"/>
      <c r="X29" s="71"/>
      <c r="Y29" s="382"/>
      <c r="Z29" s="382"/>
      <c r="AA29" s="36"/>
      <c r="AB29" s="254"/>
      <c r="AC29" s="256">
        <f ca="1" t="shared" si="3"/>
      </c>
      <c r="AD29" s="253">
        <f t="shared" si="4"/>
      </c>
      <c r="AE29" s="268">
        <f t="shared" si="10"/>
      </c>
      <c r="AF29" s="315">
        <f ca="1" t="shared" si="5"/>
      </c>
      <c r="AG29" s="360">
        <f ca="1" t="shared" si="11"/>
      </c>
      <c r="AH29" s="315">
        <f ca="1" t="shared" si="6"/>
      </c>
      <c r="AI29" s="315">
        <f ca="1" t="shared" si="7"/>
      </c>
      <c r="AJ29" s="315">
        <f ca="1" t="shared" si="8"/>
        <v>0</v>
      </c>
      <c r="AK29" s="315">
        <f ca="1" t="shared" si="9"/>
      </c>
      <c r="AL29" s="315" t="e">
        <f>CHOOSE(AF29,FALSE,Data!DV$2,IF(Data!DP$2="Transport",FALSE,Data!DV$2),IF(Data!DP$2="Transport",FALSE,Data!DV$2),FALSE,FALSE,Data!DV$2)</f>
        <v>#VALUE!</v>
      </c>
      <c r="AM29" s="315" t="e">
        <f>CHOOSE(AF29,"Affaires",IF(Data!DP$2="agricole","Agricole","Affaires"),IF(Data!DP$2="Agricole","Industriel",Data!DP$2),IF(Data!DP$2="Agricole","Industriel",Data!DP$2),IF(Data!DP$2="Agricole","Agricole","Affaires"),IF(Data!DP$2="Transport","Transport","Affaires"),IF(Data!DP$2="Agricole","Industriel",Data!DP$2))</f>
        <v>#VALUE!</v>
      </c>
      <c r="AN29" s="315">
        <f ca="1">IF(C29="Innovation","1159400",IF(C29="Gestion","1151000",IF(C29="OPTER","1151210",IF(AND(C29="Connaissances",D29="Écoconduite"),"1157170",IF(AND(C29="Conversion",D29="Bioénergies"),"1151240",IF(AND(C29="Conversion",D29="Solaires"),"1151202",INDEX(OFFSET(Type_Entreprise,,2,,),MATCH('1. Demande'!AI$76,Type_Entreprise,0))))))))</f>
        <v>0</v>
      </c>
      <c r="AO29"/>
      <c r="AP29"/>
    </row>
    <row r="30" spans="1:42" ht="15.75" customHeight="1">
      <c r="A30" s="36"/>
      <c r="B30" s="37"/>
      <c r="C30" s="37" t="s">
        <v>189</v>
      </c>
      <c r="D30" s="37"/>
      <c r="E30" s="37" t="s">
        <v>189</v>
      </c>
      <c r="F30" s="37"/>
      <c r="G30" s="252">
        <f ca="1" t="shared" si="0"/>
      </c>
      <c r="H30" s="373"/>
      <c r="I30" s="254"/>
      <c r="J30" s="37"/>
      <c r="K30" s="271"/>
      <c r="L30" s="254"/>
      <c r="M30" s="269"/>
      <c r="N30" s="375"/>
      <c r="O30" s="253">
        <f ca="1" t="shared" si="1"/>
      </c>
      <c r="P30" s="256">
        <f ca="1" t="shared" si="2"/>
      </c>
      <c r="Q30" s="378">
        <v>0</v>
      </c>
      <c r="R30" s="378">
        <v>0</v>
      </c>
      <c r="S30" s="378">
        <v>0</v>
      </c>
      <c r="T30" s="379"/>
      <c r="U30" s="378"/>
      <c r="V30" s="36" t="s">
        <v>189</v>
      </c>
      <c r="W30" s="71"/>
      <c r="X30" s="71"/>
      <c r="Y30" s="382"/>
      <c r="Z30" s="382"/>
      <c r="AA30" s="36"/>
      <c r="AB30" s="254"/>
      <c r="AC30" s="256">
        <f ca="1" t="shared" si="3"/>
      </c>
      <c r="AD30" s="253">
        <f t="shared" si="4"/>
      </c>
      <c r="AE30" s="268">
        <f t="shared" si="10"/>
      </c>
      <c r="AF30" s="315">
        <f ca="1" t="shared" si="5"/>
      </c>
      <c r="AG30" s="360">
        <f ca="1" t="shared" si="11"/>
      </c>
      <c r="AH30" s="315">
        <f ca="1" t="shared" si="6"/>
      </c>
      <c r="AI30" s="315">
        <f ca="1" t="shared" si="7"/>
      </c>
      <c r="AJ30" s="315">
        <f ca="1" t="shared" si="8"/>
        <v>0</v>
      </c>
      <c r="AK30" s="315">
        <f ca="1" t="shared" si="9"/>
      </c>
      <c r="AL30" s="315" t="e">
        <f>CHOOSE(AF30,FALSE,Data!DV$2,IF(Data!DP$2="Transport",FALSE,Data!DV$2),IF(Data!DP$2="Transport",FALSE,Data!DV$2),FALSE,FALSE,Data!DV$2)</f>
        <v>#VALUE!</v>
      </c>
      <c r="AM30" s="315" t="e">
        <f>CHOOSE(AF30,"Affaires",IF(Data!DP$2="agricole","Agricole","Affaires"),IF(Data!DP$2="Agricole","Industriel",Data!DP$2),IF(Data!DP$2="Agricole","Industriel",Data!DP$2),IF(Data!DP$2="Agricole","Agricole","Affaires"),IF(Data!DP$2="Transport","Transport","Affaires"),IF(Data!DP$2="Agricole","Industriel",Data!DP$2))</f>
        <v>#VALUE!</v>
      </c>
      <c r="AN30" s="315">
        <f ca="1">IF(C30="Innovation","1159400",IF(C30="Gestion","1151000",IF(C30="OPTER","1151210",IF(AND(C30="Connaissances",D30="Écoconduite"),"1157170",IF(AND(C30="Conversion",D30="Bioénergies"),"1151240",IF(AND(C30="Conversion",D30="Solaires"),"1151202",INDEX(OFFSET(Type_Entreprise,,2,,),MATCH('1. Demande'!AI$76,Type_Entreprise,0))))))))</f>
        <v>0</v>
      </c>
      <c r="AO30"/>
      <c r="AP30"/>
    </row>
    <row r="31" spans="1:42" ht="15.75" customHeight="1">
      <c r="A31" s="36"/>
      <c r="B31" s="37"/>
      <c r="C31" s="37" t="s">
        <v>189</v>
      </c>
      <c r="D31" s="37"/>
      <c r="E31" s="37" t="s">
        <v>189</v>
      </c>
      <c r="F31" s="37"/>
      <c r="G31" s="252">
        <f ca="1" t="shared" si="0"/>
      </c>
      <c r="H31" s="373"/>
      <c r="I31" s="254"/>
      <c r="J31" s="37"/>
      <c r="K31" s="271"/>
      <c r="L31" s="254"/>
      <c r="M31" s="269"/>
      <c r="N31" s="375"/>
      <c r="O31" s="253">
        <f ca="1" t="shared" si="1"/>
      </c>
      <c r="P31" s="256">
        <f ca="1" t="shared" si="2"/>
      </c>
      <c r="Q31" s="378">
        <v>0</v>
      </c>
      <c r="R31" s="378">
        <v>0</v>
      </c>
      <c r="S31" s="378">
        <v>0</v>
      </c>
      <c r="T31" s="379"/>
      <c r="U31" s="378"/>
      <c r="V31" s="36" t="s">
        <v>189</v>
      </c>
      <c r="W31" s="71"/>
      <c r="X31" s="71"/>
      <c r="Y31" s="382"/>
      <c r="Z31" s="382"/>
      <c r="AA31" s="36"/>
      <c r="AB31" s="254"/>
      <c r="AC31" s="256">
        <f ca="1" t="shared" si="3"/>
      </c>
      <c r="AD31" s="253">
        <f t="shared" si="4"/>
      </c>
      <c r="AE31" s="268">
        <f t="shared" si="10"/>
      </c>
      <c r="AF31" s="315">
        <f ca="1" t="shared" si="5"/>
      </c>
      <c r="AG31" s="360">
        <f ca="1" t="shared" si="11"/>
      </c>
      <c r="AH31" s="315">
        <f ca="1" t="shared" si="6"/>
      </c>
      <c r="AI31" s="315">
        <f ca="1" t="shared" si="7"/>
      </c>
      <c r="AJ31" s="315">
        <f ca="1" t="shared" si="8"/>
        <v>0</v>
      </c>
      <c r="AK31" s="315">
        <f ca="1" t="shared" si="9"/>
      </c>
      <c r="AL31" s="315" t="e">
        <f>CHOOSE(AF31,FALSE,Data!DV$2,IF(Data!DP$2="Transport",FALSE,Data!DV$2),IF(Data!DP$2="Transport",FALSE,Data!DV$2),FALSE,FALSE,Data!DV$2)</f>
        <v>#VALUE!</v>
      </c>
      <c r="AM31" s="315" t="e">
        <f>CHOOSE(AF31,"Affaires",IF(Data!DP$2="agricole","Agricole","Affaires"),IF(Data!DP$2="Agricole","Industriel",Data!DP$2),IF(Data!DP$2="Agricole","Industriel",Data!DP$2),IF(Data!DP$2="Agricole","Agricole","Affaires"),IF(Data!DP$2="Transport","Transport","Affaires"),IF(Data!DP$2="Agricole","Industriel",Data!DP$2))</f>
        <v>#VALUE!</v>
      </c>
      <c r="AN31" s="315">
        <f ca="1">IF(C31="Innovation","1159400",IF(C31="Gestion","1151000",IF(C31="OPTER","1151210",IF(AND(C31="Connaissances",D31="Écoconduite"),"1157170",IF(AND(C31="Conversion",D31="Bioénergies"),"1151240",IF(AND(C31="Conversion",D31="Solaires"),"1151202",INDEX(OFFSET(Type_Entreprise,,2,,),MATCH('1. Demande'!AI$76,Type_Entreprise,0))))))))</f>
        <v>0</v>
      </c>
      <c r="AO31"/>
      <c r="AP31"/>
    </row>
    <row r="32" spans="1:42" ht="15.75" customHeight="1">
      <c r="A32" s="36"/>
      <c r="B32" s="37"/>
      <c r="C32" s="37" t="s">
        <v>189</v>
      </c>
      <c r="D32" s="37"/>
      <c r="E32" s="37" t="s">
        <v>189</v>
      </c>
      <c r="F32" s="37"/>
      <c r="G32" s="252">
        <f ca="1" t="shared" si="0"/>
      </c>
      <c r="H32" s="373"/>
      <c r="I32" s="254"/>
      <c r="J32" s="37"/>
      <c r="K32" s="271"/>
      <c r="L32" s="254"/>
      <c r="M32" s="269"/>
      <c r="N32" s="375"/>
      <c r="O32" s="253">
        <f ca="1" t="shared" si="1"/>
      </c>
      <c r="P32" s="256">
        <f ca="1" t="shared" si="2"/>
      </c>
      <c r="Q32" s="378">
        <v>0</v>
      </c>
      <c r="R32" s="378">
        <v>0</v>
      </c>
      <c r="S32" s="378">
        <v>0</v>
      </c>
      <c r="T32" s="379"/>
      <c r="U32" s="378"/>
      <c r="V32" s="36" t="s">
        <v>189</v>
      </c>
      <c r="W32" s="71"/>
      <c r="X32" s="71"/>
      <c r="Y32" s="382"/>
      <c r="Z32" s="382"/>
      <c r="AA32" s="36"/>
      <c r="AB32" s="254"/>
      <c r="AC32" s="256">
        <f ca="1" t="shared" si="3"/>
      </c>
      <c r="AD32" s="253">
        <f t="shared" si="4"/>
      </c>
      <c r="AE32" s="268">
        <f t="shared" si="10"/>
      </c>
      <c r="AF32" s="315">
        <f ca="1" t="shared" si="5"/>
      </c>
      <c r="AG32" s="360">
        <f ca="1" t="shared" si="11"/>
      </c>
      <c r="AH32" s="315">
        <f ca="1" t="shared" si="6"/>
      </c>
      <c r="AI32" s="315">
        <f ca="1" t="shared" si="7"/>
      </c>
      <c r="AJ32" s="315">
        <f ca="1" t="shared" si="8"/>
        <v>0</v>
      </c>
      <c r="AK32" s="315">
        <f ca="1" t="shared" si="9"/>
      </c>
      <c r="AL32" s="315" t="e">
        <f>CHOOSE(AF32,FALSE,Data!DV$2,IF(Data!DP$2="Transport",FALSE,Data!DV$2),IF(Data!DP$2="Transport",FALSE,Data!DV$2),FALSE,FALSE,Data!DV$2)</f>
        <v>#VALUE!</v>
      </c>
      <c r="AM32" s="315" t="e">
        <f>CHOOSE(AF32,"Affaires",IF(Data!DP$2="agricole","Agricole","Affaires"),IF(Data!DP$2="Agricole","Industriel",Data!DP$2),IF(Data!DP$2="Agricole","Industriel",Data!DP$2),IF(Data!DP$2="Agricole","Agricole","Affaires"),IF(Data!DP$2="Transport","Transport","Affaires"),IF(Data!DP$2="Agricole","Industriel",Data!DP$2))</f>
        <v>#VALUE!</v>
      </c>
      <c r="AN32" s="315">
        <f ca="1">IF(C32="Innovation","1159400",IF(C32="Gestion","1151000",IF(C32="OPTER","1151210",IF(AND(C32="Connaissances",D32="Écoconduite"),"1157170",IF(AND(C32="Conversion",D32="Bioénergies"),"1151240",IF(AND(C32="Conversion",D32="Solaires"),"1151202",INDEX(OFFSET(Type_Entreprise,,2,,),MATCH('1. Demande'!AI$76,Type_Entreprise,0))))))))</f>
        <v>0</v>
      </c>
      <c r="AO32"/>
      <c r="AP32"/>
    </row>
    <row r="33" spans="1:42" ht="16.5" customHeight="1">
      <c r="A33" s="36"/>
      <c r="B33" s="520"/>
      <c r="C33" s="520" t="s">
        <v>189</v>
      </c>
      <c r="D33" s="520"/>
      <c r="E33" s="520" t="s">
        <v>189</v>
      </c>
      <c r="F33" s="520"/>
      <c r="G33" s="521">
        <f ca="1" t="shared" si="0"/>
      </c>
      <c r="H33" s="522"/>
      <c r="I33" s="523"/>
      <c r="J33" s="520"/>
      <c r="K33" s="271"/>
      <c r="L33" s="254"/>
      <c r="M33" s="269"/>
      <c r="N33" s="375"/>
      <c r="O33" s="253">
        <f ca="1" t="shared" si="1"/>
      </c>
      <c r="P33" s="256">
        <f ca="1" t="shared" si="2"/>
      </c>
      <c r="Q33" s="378">
        <v>0</v>
      </c>
      <c r="R33" s="378">
        <v>0</v>
      </c>
      <c r="S33" s="378">
        <v>0</v>
      </c>
      <c r="T33" s="379"/>
      <c r="U33" s="378"/>
      <c r="V33" s="36" t="s">
        <v>189</v>
      </c>
      <c r="W33" s="71"/>
      <c r="X33" s="71"/>
      <c r="Y33" s="382"/>
      <c r="Z33" s="382"/>
      <c r="AA33" s="36"/>
      <c r="AB33" s="254"/>
      <c r="AC33" s="256">
        <f ca="1" t="shared" si="3"/>
      </c>
      <c r="AD33" s="253">
        <f t="shared" si="4"/>
      </c>
      <c r="AE33" s="268">
        <f t="shared" si="10"/>
      </c>
      <c r="AF33" s="315">
        <f ca="1" t="shared" si="5"/>
      </c>
      <c r="AG33" s="360">
        <f ca="1" t="shared" si="11"/>
      </c>
      <c r="AH33" s="315">
        <f ca="1" t="shared" si="6"/>
      </c>
      <c r="AI33" s="315">
        <f ca="1" t="shared" si="7"/>
      </c>
      <c r="AJ33" s="315">
        <f ca="1" t="shared" si="8"/>
        <v>0</v>
      </c>
      <c r="AK33" s="315">
        <f ca="1" t="shared" si="9"/>
      </c>
      <c r="AL33" s="315" t="e">
        <f>CHOOSE(AF33,FALSE,Data!DV$2,IF(Data!DP$2="Transport",FALSE,Data!DV$2),IF(Data!DP$2="Transport",FALSE,Data!DV$2),FALSE,FALSE,Data!DV$2)</f>
        <v>#VALUE!</v>
      </c>
      <c r="AM33" s="315" t="e">
        <f>CHOOSE(AF33,"Affaires",IF(Data!DP$2="agricole","Agricole","Affaires"),IF(Data!DP$2="Agricole","Industriel",Data!DP$2),IF(Data!DP$2="Agricole","Industriel",Data!DP$2),IF(Data!DP$2="Agricole","Agricole","Affaires"),IF(Data!DP$2="Transport","Transport","Affaires"),IF(Data!DP$2="Agricole","Industriel",Data!DP$2))</f>
        <v>#VALUE!</v>
      </c>
      <c r="AN33" s="315">
        <f ca="1">IF(C33="Innovation","1159400",IF(C33="Gestion","1151000",IF(C33="OPTER","1151210",IF(AND(C33="Connaissances",D33="Écoconduite"),"1157170",IF(AND(C33="Conversion",D33="Bioénergies"),"1151240",IF(AND(C33="Conversion",D33="Solaires"),"1151202",INDEX(OFFSET(Type_Entreprise,,2,,),MATCH('1. Demande'!AI$76,Type_Entreprise,0))))))))</f>
        <v>0</v>
      </c>
      <c r="AO33"/>
      <c r="AP33"/>
    </row>
    <row r="34" spans="1:42" ht="15.75" customHeight="1">
      <c r="A34" s="36"/>
      <c r="B34" s="37"/>
      <c r="C34" s="37" t="s">
        <v>189</v>
      </c>
      <c r="D34" s="37"/>
      <c r="E34" s="37" t="s">
        <v>189</v>
      </c>
      <c r="F34" s="37"/>
      <c r="G34" s="252">
        <f ca="1" t="shared" si="0"/>
      </c>
      <c r="H34" s="373"/>
      <c r="I34" s="254"/>
      <c r="J34" s="37"/>
      <c r="K34" s="271"/>
      <c r="L34" s="254"/>
      <c r="M34" s="269"/>
      <c r="N34" s="375"/>
      <c r="O34" s="253">
        <f ca="1" t="shared" si="1"/>
      </c>
      <c r="P34" s="256">
        <f ca="1" t="shared" si="2"/>
      </c>
      <c r="Q34" s="378">
        <v>0</v>
      </c>
      <c r="R34" s="378">
        <v>0</v>
      </c>
      <c r="S34" s="378">
        <v>0</v>
      </c>
      <c r="T34" s="379"/>
      <c r="U34" s="378"/>
      <c r="V34" s="36" t="s">
        <v>189</v>
      </c>
      <c r="W34" s="71"/>
      <c r="X34" s="71"/>
      <c r="Y34" s="382"/>
      <c r="Z34" s="382"/>
      <c r="AA34" s="36"/>
      <c r="AB34" s="254"/>
      <c r="AC34" s="256">
        <f ca="1" t="shared" si="3"/>
      </c>
      <c r="AD34" s="253">
        <f t="shared" si="4"/>
      </c>
      <c r="AE34" s="268">
        <f t="shared" si="10"/>
      </c>
      <c r="AF34" s="315">
        <f ca="1" t="shared" si="5"/>
      </c>
      <c r="AG34" s="360">
        <f ca="1" t="shared" si="11"/>
      </c>
      <c r="AH34" s="315">
        <f ca="1" t="shared" si="6"/>
      </c>
      <c r="AI34" s="315">
        <f ca="1" t="shared" si="7"/>
      </c>
      <c r="AJ34" s="315">
        <f ca="1" t="shared" si="8"/>
        <v>0</v>
      </c>
      <c r="AK34" s="315">
        <f ca="1" t="shared" si="9"/>
      </c>
      <c r="AL34" s="315" t="e">
        <f>CHOOSE(AF34,FALSE,Data!DV$2,IF(Data!DP$2="Transport",FALSE,Data!DV$2),IF(Data!DP$2="Transport",FALSE,Data!DV$2),FALSE,FALSE,Data!DV$2)</f>
        <v>#VALUE!</v>
      </c>
      <c r="AM34" s="315" t="e">
        <f>CHOOSE(AF34,"Affaires",IF(Data!DP$2="agricole","Agricole","Affaires"),IF(Data!DP$2="Agricole","Industriel",Data!DP$2),IF(Data!DP$2="Agricole","Industriel",Data!DP$2),IF(Data!DP$2="Agricole","Agricole","Affaires"),IF(Data!DP$2="Transport","Transport","Affaires"),IF(Data!DP$2="Agricole","Industriel",Data!DP$2))</f>
        <v>#VALUE!</v>
      </c>
      <c r="AN34" s="315">
        <f ca="1">IF(C34="Innovation","1159400",IF(C34="Gestion","1151000",IF(C34="OPTER","1151210",IF(AND(C34="Connaissances",D34="Écoconduite"),"1157170",IF(AND(C34="Conversion",D34="Bioénergies"),"1151240",IF(AND(C34="Conversion",D34="Solaires"),"1151202",INDEX(OFFSET(Type_Entreprise,,2,,),MATCH('1. Demande'!AI$76,Type_Entreprise,0))))))))</f>
        <v>0</v>
      </c>
      <c r="AO34"/>
      <c r="AP34"/>
    </row>
    <row r="35" spans="1:42" ht="15.75" customHeight="1">
      <c r="A35" s="36"/>
      <c r="B35" s="37"/>
      <c r="C35" s="37" t="s">
        <v>189</v>
      </c>
      <c r="D35" s="37"/>
      <c r="E35" s="37" t="s">
        <v>189</v>
      </c>
      <c r="F35" s="37"/>
      <c r="G35" s="252">
        <f ca="1" t="shared" si="0"/>
      </c>
      <c r="H35" s="373"/>
      <c r="I35" s="254"/>
      <c r="J35" s="37"/>
      <c r="K35" s="271"/>
      <c r="L35" s="254"/>
      <c r="M35" s="269"/>
      <c r="N35" s="375"/>
      <c r="O35" s="253">
        <f ca="1" t="shared" si="1"/>
      </c>
      <c r="P35" s="256">
        <f ca="1" t="shared" si="2"/>
      </c>
      <c r="Q35" s="378">
        <v>0</v>
      </c>
      <c r="R35" s="378">
        <v>0</v>
      </c>
      <c r="S35" s="378">
        <v>0</v>
      </c>
      <c r="T35" s="379"/>
      <c r="U35" s="378"/>
      <c r="V35" s="36" t="s">
        <v>189</v>
      </c>
      <c r="W35" s="71"/>
      <c r="X35" s="71"/>
      <c r="Y35" s="382"/>
      <c r="Z35" s="382"/>
      <c r="AA35" s="36"/>
      <c r="AB35" s="254"/>
      <c r="AC35" s="256">
        <f ca="1" t="shared" si="3"/>
      </c>
      <c r="AD35" s="253">
        <f t="shared" si="4"/>
      </c>
      <c r="AE35" s="268">
        <f t="shared" si="10"/>
      </c>
      <c r="AF35" s="315">
        <f ca="1" t="shared" si="5"/>
      </c>
      <c r="AG35" s="360">
        <f ca="1" t="shared" si="11"/>
      </c>
      <c r="AH35" s="315">
        <f ca="1" t="shared" si="6"/>
      </c>
      <c r="AI35" s="315">
        <f ca="1" t="shared" si="7"/>
      </c>
      <c r="AJ35" s="315">
        <f ca="1" t="shared" si="8"/>
        <v>0</v>
      </c>
      <c r="AK35" s="315">
        <f ca="1" t="shared" si="9"/>
      </c>
      <c r="AL35" s="315" t="e">
        <f>CHOOSE(AF35,FALSE,Data!DV$2,IF(Data!DP$2="Transport",FALSE,Data!DV$2),IF(Data!DP$2="Transport",FALSE,Data!DV$2),FALSE,FALSE,Data!DV$2)</f>
        <v>#VALUE!</v>
      </c>
      <c r="AM35" s="315" t="e">
        <f>CHOOSE(AF35,"Affaires",IF(Data!DP$2="agricole","Agricole","Affaires"),IF(Data!DP$2="Agricole","Industriel",Data!DP$2),IF(Data!DP$2="Agricole","Industriel",Data!DP$2),IF(Data!DP$2="Agricole","Agricole","Affaires"),IF(Data!DP$2="Transport","Transport","Affaires"),IF(Data!DP$2="Agricole","Industriel",Data!DP$2))</f>
        <v>#VALUE!</v>
      </c>
      <c r="AN35" s="315">
        <f ca="1">IF(C35="Innovation","1159400",IF(C35="Gestion","1151000",IF(C35="OPTER","1151210",IF(AND(C35="Connaissances",D35="Écoconduite"),"1157170",IF(AND(C35="Conversion",D35="Bioénergies"),"1151240",IF(AND(C35="Conversion",D35="Solaires"),"1151202",INDEX(OFFSET(Type_Entreprise,,2,,),MATCH('1. Demande'!AI$76,Type_Entreprise,0))))))))</f>
        <v>0</v>
      </c>
      <c r="AO35"/>
      <c r="AP35"/>
    </row>
    <row r="36" spans="1:42" ht="15.75" customHeight="1">
      <c r="A36" s="36"/>
      <c r="B36" s="37"/>
      <c r="C36" s="37" t="s">
        <v>189</v>
      </c>
      <c r="D36" s="37"/>
      <c r="E36" s="37" t="s">
        <v>189</v>
      </c>
      <c r="F36" s="37"/>
      <c r="G36" s="252">
        <f ca="1" t="shared" si="0"/>
      </c>
      <c r="H36" s="373"/>
      <c r="I36" s="254"/>
      <c r="J36" s="37"/>
      <c r="K36" s="271"/>
      <c r="L36" s="254"/>
      <c r="M36" s="269"/>
      <c r="N36" s="375"/>
      <c r="O36" s="253">
        <f ca="1" t="shared" si="1"/>
      </c>
      <c r="P36" s="256">
        <f ca="1" t="shared" si="2"/>
      </c>
      <c r="Q36" s="378">
        <v>0</v>
      </c>
      <c r="R36" s="378">
        <v>0</v>
      </c>
      <c r="S36" s="378">
        <v>0</v>
      </c>
      <c r="T36" s="379"/>
      <c r="U36" s="378"/>
      <c r="V36" s="36" t="s">
        <v>189</v>
      </c>
      <c r="W36" s="71"/>
      <c r="X36" s="71"/>
      <c r="Y36" s="382"/>
      <c r="Z36" s="382"/>
      <c r="AA36" s="36"/>
      <c r="AB36" s="254"/>
      <c r="AC36" s="256">
        <f ca="1" t="shared" si="3"/>
      </c>
      <c r="AD36" s="253">
        <f t="shared" si="4"/>
      </c>
      <c r="AE36" s="268">
        <f t="shared" si="10"/>
      </c>
      <c r="AF36" s="315">
        <f ca="1" t="shared" si="5"/>
      </c>
      <c r="AG36" s="360">
        <f ca="1" t="shared" si="11"/>
      </c>
      <c r="AH36" s="315">
        <f ca="1" t="shared" si="6"/>
      </c>
      <c r="AI36" s="315">
        <f ca="1" t="shared" si="7"/>
      </c>
      <c r="AJ36" s="315">
        <f ca="1" t="shared" si="8"/>
        <v>0</v>
      </c>
      <c r="AK36" s="315">
        <f ca="1" t="shared" si="9"/>
      </c>
      <c r="AL36" s="315" t="e">
        <f>CHOOSE(AF36,FALSE,Data!DV$2,IF(Data!DP$2="Transport",FALSE,Data!DV$2),IF(Data!DP$2="Transport",FALSE,Data!DV$2),FALSE,FALSE,Data!DV$2)</f>
        <v>#VALUE!</v>
      </c>
      <c r="AM36" s="315" t="e">
        <f>CHOOSE(AF36,"Affaires",IF(Data!DP$2="agricole","Agricole","Affaires"),IF(Data!DP$2="Agricole","Industriel",Data!DP$2),IF(Data!DP$2="Agricole","Industriel",Data!DP$2),IF(Data!DP$2="Agricole","Agricole","Affaires"),IF(Data!DP$2="Transport","Transport","Affaires"),IF(Data!DP$2="Agricole","Industriel",Data!DP$2))</f>
        <v>#VALUE!</v>
      </c>
      <c r="AN36" s="315">
        <f ca="1">IF(C36="Innovation","1159400",IF(C36="Gestion","1151000",IF(C36="OPTER","1151210",IF(AND(C36="Connaissances",D36="Écoconduite"),"1157170",IF(AND(C36="Conversion",D36="Bioénergies"),"1151240",IF(AND(C36="Conversion",D36="Solaires"),"1151202",INDEX(OFFSET(Type_Entreprise,,2,,),MATCH('1. Demande'!AI$76,Type_Entreprise,0))))))))</f>
        <v>0</v>
      </c>
      <c r="AO36"/>
      <c r="AP36"/>
    </row>
    <row r="37" spans="1:42" ht="15.75" customHeight="1">
      <c r="A37" s="36"/>
      <c r="B37" s="37"/>
      <c r="C37" s="37" t="s">
        <v>189</v>
      </c>
      <c r="D37" s="37"/>
      <c r="E37" s="37" t="s">
        <v>189</v>
      </c>
      <c r="F37" s="37"/>
      <c r="G37" s="252">
        <f ca="1" t="shared" si="0"/>
      </c>
      <c r="H37" s="373"/>
      <c r="I37" s="254"/>
      <c r="J37" s="37"/>
      <c r="K37" s="271"/>
      <c r="L37" s="254"/>
      <c r="M37" s="269"/>
      <c r="N37" s="375"/>
      <c r="O37" s="253">
        <f ca="1" t="shared" si="1"/>
      </c>
      <c r="P37" s="256">
        <f ca="1" t="shared" si="2"/>
      </c>
      <c r="Q37" s="378">
        <v>0</v>
      </c>
      <c r="R37" s="378">
        <v>0</v>
      </c>
      <c r="S37" s="378">
        <v>0</v>
      </c>
      <c r="T37" s="379"/>
      <c r="U37" s="378"/>
      <c r="V37" s="36" t="s">
        <v>189</v>
      </c>
      <c r="W37" s="71"/>
      <c r="X37" s="71"/>
      <c r="Y37" s="382"/>
      <c r="Z37" s="382"/>
      <c r="AA37" s="36"/>
      <c r="AB37" s="254"/>
      <c r="AC37" s="256">
        <f ca="1" t="shared" si="3"/>
      </c>
      <c r="AD37" s="253">
        <f t="shared" si="4"/>
      </c>
      <c r="AE37" s="268">
        <f t="shared" si="10"/>
      </c>
      <c r="AF37" s="315">
        <f ca="1" t="shared" si="5"/>
      </c>
      <c r="AG37" s="360">
        <f ca="1" t="shared" si="11"/>
      </c>
      <c r="AH37" s="315">
        <f ca="1" t="shared" si="6"/>
      </c>
      <c r="AI37" s="315">
        <f ca="1" t="shared" si="7"/>
      </c>
      <c r="AJ37" s="315">
        <f ca="1" t="shared" si="8"/>
        <v>0</v>
      </c>
      <c r="AK37" s="315">
        <f ca="1" t="shared" si="9"/>
      </c>
      <c r="AL37" s="315" t="e">
        <f>CHOOSE(AF37,FALSE,Data!DV$2,IF(Data!DP$2="Transport",FALSE,Data!DV$2),IF(Data!DP$2="Transport",FALSE,Data!DV$2),FALSE,FALSE,Data!DV$2)</f>
        <v>#VALUE!</v>
      </c>
      <c r="AM37" s="315" t="e">
        <f>CHOOSE(AF37,"Affaires",IF(Data!DP$2="agricole","Agricole","Affaires"),IF(Data!DP$2="Agricole","Industriel",Data!DP$2),IF(Data!DP$2="Agricole","Industriel",Data!DP$2),IF(Data!DP$2="Agricole","Agricole","Affaires"),IF(Data!DP$2="Transport","Transport","Affaires"),IF(Data!DP$2="Agricole","Industriel",Data!DP$2))</f>
        <v>#VALUE!</v>
      </c>
      <c r="AN37" s="315">
        <f ca="1">IF(C37="Innovation","1159400",IF(C37="Gestion","1151000",IF(C37="OPTER","1151210",IF(AND(C37="Connaissances",D37="Écoconduite"),"1157170",IF(AND(C37="Conversion",D37="Bioénergies"),"1151240",IF(AND(C37="Conversion",D37="Solaires"),"1151202",INDEX(OFFSET(Type_Entreprise,,2,,),MATCH('1. Demande'!AI$76,Type_Entreprise,0))))))))</f>
        <v>0</v>
      </c>
      <c r="AO37"/>
      <c r="AP37"/>
    </row>
    <row r="38" spans="1:42" ht="15.75" customHeight="1">
      <c r="A38" s="36"/>
      <c r="B38" s="37"/>
      <c r="C38" s="37" t="s">
        <v>189</v>
      </c>
      <c r="D38" s="37"/>
      <c r="E38" s="37" t="s">
        <v>189</v>
      </c>
      <c r="F38" s="37"/>
      <c r="G38" s="252">
        <f ca="1" t="shared" si="0"/>
      </c>
      <c r="H38" s="373"/>
      <c r="I38" s="254"/>
      <c r="J38" s="37"/>
      <c r="K38" s="271"/>
      <c r="L38" s="254"/>
      <c r="M38" s="269"/>
      <c r="N38" s="375"/>
      <c r="O38" s="253">
        <f ca="1" t="shared" si="1"/>
      </c>
      <c r="P38" s="256">
        <f ca="1" t="shared" si="2"/>
      </c>
      <c r="Q38" s="378">
        <v>0</v>
      </c>
      <c r="R38" s="378">
        <v>0</v>
      </c>
      <c r="S38" s="378">
        <v>0</v>
      </c>
      <c r="T38" s="379"/>
      <c r="U38" s="378"/>
      <c r="V38" s="36" t="s">
        <v>189</v>
      </c>
      <c r="W38" s="71"/>
      <c r="X38" s="71"/>
      <c r="Y38" s="382"/>
      <c r="Z38" s="382"/>
      <c r="AA38" s="36"/>
      <c r="AB38" s="254"/>
      <c r="AC38" s="256">
        <f ca="1" t="shared" si="3"/>
      </c>
      <c r="AD38" s="253">
        <f t="shared" si="4"/>
      </c>
      <c r="AE38" s="268">
        <f t="shared" si="10"/>
      </c>
      <c r="AF38" s="315">
        <f ca="1" t="shared" si="5"/>
      </c>
      <c r="AG38" s="360">
        <f ca="1" t="shared" si="11"/>
      </c>
      <c r="AH38" s="315">
        <f ca="1" t="shared" si="6"/>
      </c>
      <c r="AI38" s="315">
        <f ca="1" t="shared" si="7"/>
      </c>
      <c r="AJ38" s="315">
        <f ca="1" t="shared" si="8"/>
        <v>0</v>
      </c>
      <c r="AK38" s="315">
        <f ca="1" t="shared" si="9"/>
      </c>
      <c r="AL38" s="315" t="e">
        <f>CHOOSE(AF38,FALSE,Data!DV$2,IF(Data!DP$2="Transport",FALSE,Data!DV$2),IF(Data!DP$2="Transport",FALSE,Data!DV$2),FALSE,FALSE,Data!DV$2)</f>
        <v>#VALUE!</v>
      </c>
      <c r="AM38" s="315" t="e">
        <f>CHOOSE(AF38,"Affaires",IF(Data!DP$2="agricole","Agricole","Affaires"),IF(Data!DP$2="Agricole","Industriel",Data!DP$2),IF(Data!DP$2="Agricole","Industriel",Data!DP$2),IF(Data!DP$2="Agricole","Agricole","Affaires"),IF(Data!DP$2="Transport","Transport","Affaires"),IF(Data!DP$2="Agricole","Industriel",Data!DP$2))</f>
        <v>#VALUE!</v>
      </c>
      <c r="AN38" s="315">
        <f ca="1">IF(C38="Innovation","1159400",IF(C38="Gestion","1151000",IF(C38="OPTER","1151210",IF(AND(C38="Connaissances",D38="Écoconduite"),"1157170",IF(AND(C38="Conversion",D38="Bioénergies"),"1151240",IF(AND(C38="Conversion",D38="Solaires"),"1151202",INDEX(OFFSET(Type_Entreprise,,2,,),MATCH('1. Demande'!AI$76,Type_Entreprise,0))))))))</f>
        <v>0</v>
      </c>
      <c r="AO38"/>
      <c r="AP38"/>
    </row>
    <row r="39" spans="1:42" ht="15.75" customHeight="1">
      <c r="A39" s="36"/>
      <c r="B39" s="37"/>
      <c r="C39" s="37" t="s">
        <v>189</v>
      </c>
      <c r="D39" s="37"/>
      <c r="E39" s="37" t="s">
        <v>189</v>
      </c>
      <c r="F39" s="37"/>
      <c r="G39" s="252">
        <f ca="1" t="shared" si="0"/>
      </c>
      <c r="H39" s="373"/>
      <c r="I39" s="254"/>
      <c r="J39" s="37"/>
      <c r="K39" s="271"/>
      <c r="L39" s="254"/>
      <c r="M39" s="269"/>
      <c r="N39" s="375"/>
      <c r="O39" s="253">
        <f ca="1" t="shared" si="1"/>
      </c>
      <c r="P39" s="256">
        <f ca="1" t="shared" si="2"/>
      </c>
      <c r="Q39" s="378">
        <v>0</v>
      </c>
      <c r="R39" s="378">
        <v>0</v>
      </c>
      <c r="S39" s="378">
        <v>0</v>
      </c>
      <c r="T39" s="379"/>
      <c r="U39" s="378"/>
      <c r="V39" s="36" t="s">
        <v>189</v>
      </c>
      <c r="W39" s="71"/>
      <c r="X39" s="71"/>
      <c r="Y39" s="382"/>
      <c r="Z39" s="382"/>
      <c r="AA39" s="36"/>
      <c r="AB39" s="254"/>
      <c r="AC39" s="256">
        <f ca="1" t="shared" si="3"/>
      </c>
      <c r="AD39" s="253">
        <f t="shared" si="4"/>
      </c>
      <c r="AE39" s="268">
        <f t="shared" si="10"/>
      </c>
      <c r="AF39" s="315">
        <f ca="1" t="shared" si="5"/>
      </c>
      <c r="AG39" s="360">
        <f ca="1" t="shared" si="11"/>
      </c>
      <c r="AH39" s="315">
        <f ca="1" t="shared" si="6"/>
      </c>
      <c r="AI39" s="315">
        <f ca="1" t="shared" si="7"/>
      </c>
      <c r="AJ39" s="315">
        <f ca="1" t="shared" si="8"/>
        <v>0</v>
      </c>
      <c r="AK39" s="315">
        <f ca="1" t="shared" si="9"/>
      </c>
      <c r="AL39" s="315" t="e">
        <f>CHOOSE(AF39,FALSE,Data!DV$2,IF(Data!DP$2="Transport",FALSE,Data!DV$2),IF(Data!DP$2="Transport",FALSE,Data!DV$2),FALSE,FALSE,Data!DV$2)</f>
        <v>#VALUE!</v>
      </c>
      <c r="AM39" s="315" t="e">
        <f>CHOOSE(AF39,"Affaires",IF(Data!DP$2="agricole","Agricole","Affaires"),IF(Data!DP$2="Agricole","Industriel",Data!DP$2),IF(Data!DP$2="Agricole","Industriel",Data!DP$2),IF(Data!DP$2="Agricole","Agricole","Affaires"),IF(Data!DP$2="Transport","Transport","Affaires"),IF(Data!DP$2="Agricole","Industriel",Data!DP$2))</f>
        <v>#VALUE!</v>
      </c>
      <c r="AN39" s="315">
        <f ca="1">IF(C39="Innovation","1159400",IF(C39="Gestion","1151000",IF(C39="OPTER","1151210",IF(AND(C39="Connaissances",D39="Écoconduite"),"1157170",IF(AND(C39="Conversion",D39="Bioénergies"),"1151240",IF(AND(C39="Conversion",D39="Solaires"),"1151202",INDEX(OFFSET(Type_Entreprise,,2,,),MATCH('1. Demande'!AI$76,Type_Entreprise,0))))))))</f>
        <v>0</v>
      </c>
      <c r="AO39"/>
      <c r="AP39"/>
    </row>
    <row r="40" spans="1:42" ht="15.75" customHeight="1">
      <c r="A40" s="36"/>
      <c r="B40" s="37"/>
      <c r="C40" s="37" t="s">
        <v>189</v>
      </c>
      <c r="D40" s="37"/>
      <c r="E40" s="37" t="s">
        <v>189</v>
      </c>
      <c r="F40" s="37"/>
      <c r="G40" s="252">
        <f ca="1" t="shared" si="0"/>
      </c>
      <c r="H40" s="373"/>
      <c r="I40" s="254"/>
      <c r="J40" s="37"/>
      <c r="K40" s="271"/>
      <c r="L40" s="254"/>
      <c r="M40" s="269"/>
      <c r="N40" s="375"/>
      <c r="O40" s="253">
        <f ca="1" t="shared" si="1"/>
      </c>
      <c r="P40" s="256">
        <f ca="1" t="shared" si="2"/>
      </c>
      <c r="Q40" s="378">
        <v>0</v>
      </c>
      <c r="R40" s="378">
        <v>0</v>
      </c>
      <c r="S40" s="378">
        <v>0</v>
      </c>
      <c r="T40" s="379"/>
      <c r="U40" s="378"/>
      <c r="V40" s="36" t="s">
        <v>189</v>
      </c>
      <c r="W40" s="71"/>
      <c r="X40" s="71"/>
      <c r="Y40" s="382"/>
      <c r="Z40" s="382"/>
      <c r="AA40" s="36"/>
      <c r="AB40" s="254"/>
      <c r="AC40" s="256">
        <f ca="1" t="shared" si="3"/>
      </c>
      <c r="AD40" s="253">
        <f t="shared" si="4"/>
      </c>
      <c r="AE40" s="268">
        <f t="shared" si="10"/>
      </c>
      <c r="AF40" s="315">
        <f ca="1" t="shared" si="5"/>
      </c>
      <c r="AG40" s="360">
        <f ca="1" t="shared" si="11"/>
      </c>
      <c r="AH40" s="315">
        <f ca="1" t="shared" si="6"/>
      </c>
      <c r="AI40" s="315">
        <f ca="1" t="shared" si="7"/>
      </c>
      <c r="AJ40" s="315">
        <f ca="1" t="shared" si="8"/>
        <v>0</v>
      </c>
      <c r="AK40" s="315">
        <f ca="1" t="shared" si="9"/>
      </c>
      <c r="AL40" s="315" t="e">
        <f>CHOOSE(AF40,FALSE,Data!DV$2,IF(Data!DP$2="Transport",FALSE,Data!DV$2),IF(Data!DP$2="Transport",FALSE,Data!DV$2),FALSE,FALSE,Data!DV$2)</f>
        <v>#VALUE!</v>
      </c>
      <c r="AM40" s="315" t="e">
        <f>CHOOSE(AF40,"Affaires",IF(Data!DP$2="agricole","Agricole","Affaires"),IF(Data!DP$2="Agricole","Industriel",Data!DP$2),IF(Data!DP$2="Agricole","Industriel",Data!DP$2),IF(Data!DP$2="Agricole","Agricole","Affaires"),IF(Data!DP$2="Transport","Transport","Affaires"),IF(Data!DP$2="Agricole","Industriel",Data!DP$2))</f>
        <v>#VALUE!</v>
      </c>
      <c r="AN40" s="315">
        <f ca="1">IF(C40="Innovation","1159400",IF(C40="Gestion","1151000",IF(C40="OPTER","1151210",IF(AND(C40="Connaissances",D40="Écoconduite"),"1157170",IF(AND(C40="Conversion",D40="Bioénergies"),"1151240",IF(AND(C40="Conversion",D40="Solaires"),"1151202",INDEX(OFFSET(Type_Entreprise,,2,,),MATCH('1. Demande'!AI$76,Type_Entreprise,0))))))))</f>
        <v>0</v>
      </c>
      <c r="AO40"/>
      <c r="AP40"/>
    </row>
    <row r="41" spans="1:42" ht="15.75" customHeight="1">
      <c r="A41" s="36"/>
      <c r="B41" s="37"/>
      <c r="C41" s="37" t="s">
        <v>189</v>
      </c>
      <c r="D41" s="37"/>
      <c r="E41" s="37" t="s">
        <v>189</v>
      </c>
      <c r="F41" s="37"/>
      <c r="G41" s="252">
        <f ca="1" t="shared" si="0"/>
      </c>
      <c r="H41" s="373"/>
      <c r="I41" s="254"/>
      <c r="J41" s="37"/>
      <c r="K41" s="271"/>
      <c r="L41" s="254"/>
      <c r="M41" s="269"/>
      <c r="N41" s="375"/>
      <c r="O41" s="253">
        <f ca="1" t="shared" si="1"/>
      </c>
      <c r="P41" s="256">
        <f ca="1" t="shared" si="2"/>
      </c>
      <c r="Q41" s="378">
        <v>0</v>
      </c>
      <c r="R41" s="378">
        <v>0</v>
      </c>
      <c r="S41" s="378">
        <v>0</v>
      </c>
      <c r="T41" s="379"/>
      <c r="U41" s="378"/>
      <c r="V41" s="36" t="s">
        <v>189</v>
      </c>
      <c r="W41" s="71"/>
      <c r="X41" s="71"/>
      <c r="Y41" s="382"/>
      <c r="Z41" s="382"/>
      <c r="AA41" s="36"/>
      <c r="AB41" s="254"/>
      <c r="AC41" s="256">
        <f ca="1" t="shared" si="3"/>
      </c>
      <c r="AD41" s="253">
        <f t="shared" si="4"/>
      </c>
      <c r="AE41" s="268">
        <f t="shared" si="10"/>
      </c>
      <c r="AF41" s="315">
        <f ca="1" t="shared" si="5"/>
      </c>
      <c r="AG41" s="360">
        <f ca="1" t="shared" si="11"/>
      </c>
      <c r="AH41" s="315">
        <f ca="1" t="shared" si="6"/>
      </c>
      <c r="AI41" s="315">
        <f ca="1" t="shared" si="7"/>
      </c>
      <c r="AJ41" s="315">
        <f ca="1" t="shared" si="8"/>
        <v>0</v>
      </c>
      <c r="AK41" s="315">
        <f ca="1" t="shared" si="9"/>
      </c>
      <c r="AL41" s="315" t="e">
        <f>CHOOSE(AF41,FALSE,Data!DV$2,IF(Data!DP$2="Transport",FALSE,Data!DV$2),IF(Data!DP$2="Transport",FALSE,Data!DV$2),FALSE,FALSE,Data!DV$2)</f>
        <v>#VALUE!</v>
      </c>
      <c r="AM41" s="315" t="e">
        <f>CHOOSE(AF41,"Affaires",IF(Data!DP$2="agricole","Agricole","Affaires"),IF(Data!DP$2="Agricole","Industriel",Data!DP$2),IF(Data!DP$2="Agricole","Industriel",Data!DP$2),IF(Data!DP$2="Agricole","Agricole","Affaires"),IF(Data!DP$2="Transport","Transport","Affaires"),IF(Data!DP$2="Agricole","Industriel",Data!DP$2))</f>
        <v>#VALUE!</v>
      </c>
      <c r="AN41" s="315">
        <f ca="1">IF(C41="Innovation","1159400",IF(C41="Gestion","1151000",IF(C41="OPTER","1151210",IF(AND(C41="Connaissances",D41="Écoconduite"),"1157170",IF(AND(C41="Conversion",D41="Bioénergies"),"1151240",IF(AND(C41="Conversion",D41="Solaires"),"1151202",INDEX(OFFSET(Type_Entreprise,,2,,),MATCH('1. Demande'!AI$76,Type_Entreprise,0))))))))</f>
        <v>0</v>
      </c>
      <c r="AO41"/>
      <c r="AP41"/>
    </row>
    <row r="42" spans="1:42" ht="15.75" customHeight="1">
      <c r="A42" s="36"/>
      <c r="B42" s="37"/>
      <c r="C42" s="37" t="s">
        <v>189</v>
      </c>
      <c r="D42" s="37"/>
      <c r="E42" s="37" t="s">
        <v>189</v>
      </c>
      <c r="F42" s="37"/>
      <c r="G42" s="252">
        <f ca="1" t="shared" si="0"/>
      </c>
      <c r="H42" s="373"/>
      <c r="I42" s="254"/>
      <c r="J42" s="37"/>
      <c r="K42" s="271"/>
      <c r="L42" s="254"/>
      <c r="M42" s="269"/>
      <c r="N42" s="375"/>
      <c r="O42" s="253">
        <f ca="1" t="shared" si="1"/>
      </c>
      <c r="P42" s="256">
        <f ca="1" t="shared" si="2"/>
      </c>
      <c r="Q42" s="378">
        <v>0</v>
      </c>
      <c r="R42" s="378">
        <v>0</v>
      </c>
      <c r="S42" s="378">
        <v>0</v>
      </c>
      <c r="T42" s="379"/>
      <c r="U42" s="378"/>
      <c r="V42" s="36" t="s">
        <v>189</v>
      </c>
      <c r="W42" s="71"/>
      <c r="X42" s="71"/>
      <c r="Y42" s="382"/>
      <c r="Z42" s="382"/>
      <c r="AA42" s="36"/>
      <c r="AB42" s="254"/>
      <c r="AC42" s="256">
        <f ca="1" t="shared" si="3"/>
      </c>
      <c r="AD42" s="253">
        <f t="shared" si="4"/>
      </c>
      <c r="AE42" s="268">
        <f t="shared" si="10"/>
      </c>
      <c r="AF42" s="315">
        <f ca="1" t="shared" si="5"/>
      </c>
      <c r="AG42" s="360">
        <f ca="1" t="shared" si="11"/>
      </c>
      <c r="AH42" s="315">
        <f ca="1" t="shared" si="6"/>
      </c>
      <c r="AI42" s="315">
        <f ca="1" t="shared" si="7"/>
      </c>
      <c r="AJ42" s="315">
        <f ca="1" t="shared" si="8"/>
        <v>0</v>
      </c>
      <c r="AK42" s="315">
        <f ca="1" t="shared" si="9"/>
      </c>
      <c r="AL42" s="315" t="e">
        <f>CHOOSE(AF42,FALSE,Data!DV$2,IF(Data!DP$2="Transport",FALSE,Data!DV$2),IF(Data!DP$2="Transport",FALSE,Data!DV$2),FALSE,FALSE,Data!DV$2)</f>
        <v>#VALUE!</v>
      </c>
      <c r="AM42" s="315" t="e">
        <f>CHOOSE(AF42,"Affaires",IF(Data!DP$2="agricole","Agricole","Affaires"),IF(Data!DP$2="Agricole","Industriel",Data!DP$2),IF(Data!DP$2="Agricole","Industriel",Data!DP$2),IF(Data!DP$2="Agricole","Agricole","Affaires"),IF(Data!DP$2="Transport","Transport","Affaires"),IF(Data!DP$2="Agricole","Industriel",Data!DP$2))</f>
        <v>#VALUE!</v>
      </c>
      <c r="AN42" s="315">
        <f ca="1">IF(C42="Innovation","1159400",IF(C42="Gestion","1151000",IF(C42="OPTER","1151210",IF(AND(C42="Connaissances",D42="Écoconduite"),"1157170",IF(AND(C42="Conversion",D42="Bioénergies"),"1151240",IF(AND(C42="Conversion",D42="Solaires"),"1151202",INDEX(OFFSET(Type_Entreprise,,2,,),MATCH('1. Demande'!AI$76,Type_Entreprise,0))))))))</f>
        <v>0</v>
      </c>
      <c r="AO42"/>
      <c r="AP42"/>
    </row>
    <row r="43" spans="1:42" ht="15.75" customHeight="1">
      <c r="A43" s="36"/>
      <c r="B43" s="37"/>
      <c r="C43" s="37" t="s">
        <v>189</v>
      </c>
      <c r="D43" s="37"/>
      <c r="E43" s="37" t="s">
        <v>189</v>
      </c>
      <c r="F43" s="37"/>
      <c r="G43" s="252">
        <f ca="1" t="shared" si="0"/>
      </c>
      <c r="H43" s="373"/>
      <c r="I43" s="254"/>
      <c r="J43" s="37"/>
      <c r="K43" s="271"/>
      <c r="L43" s="254"/>
      <c r="M43" s="269"/>
      <c r="N43" s="375"/>
      <c r="O43" s="253">
        <f ca="1" t="shared" si="1"/>
      </c>
      <c r="P43" s="256">
        <f ca="1" t="shared" si="2"/>
      </c>
      <c r="Q43" s="378">
        <v>0</v>
      </c>
      <c r="R43" s="378">
        <v>0</v>
      </c>
      <c r="S43" s="378">
        <v>0</v>
      </c>
      <c r="T43" s="379"/>
      <c r="U43" s="378"/>
      <c r="V43" s="36" t="s">
        <v>189</v>
      </c>
      <c r="W43" s="71"/>
      <c r="X43" s="71"/>
      <c r="Y43" s="382"/>
      <c r="Z43" s="382"/>
      <c r="AA43" s="36"/>
      <c r="AB43" s="254"/>
      <c r="AC43" s="256">
        <f ca="1" t="shared" si="3"/>
      </c>
      <c r="AD43" s="253">
        <f t="shared" si="4"/>
      </c>
      <c r="AE43" s="268">
        <f t="shared" si="10"/>
      </c>
      <c r="AF43" s="315">
        <f ca="1" t="shared" si="5"/>
      </c>
      <c r="AG43" s="360">
        <f ca="1" t="shared" si="11"/>
      </c>
      <c r="AH43" s="315">
        <f ca="1" t="shared" si="6"/>
      </c>
      <c r="AI43" s="315">
        <f ca="1" t="shared" si="7"/>
      </c>
      <c r="AJ43" s="315">
        <f ca="1" t="shared" si="8"/>
        <v>0</v>
      </c>
      <c r="AK43" s="315">
        <f ca="1" t="shared" si="9"/>
      </c>
      <c r="AL43" s="315" t="e">
        <f>CHOOSE(AF43,FALSE,Data!DV$2,IF(Data!DP$2="Transport",FALSE,Data!DV$2),IF(Data!DP$2="Transport",FALSE,Data!DV$2),FALSE,FALSE,Data!DV$2)</f>
        <v>#VALUE!</v>
      </c>
      <c r="AM43" s="315" t="e">
        <f>CHOOSE(AF43,"Affaires",IF(Data!DP$2="agricole","Agricole","Affaires"),IF(Data!DP$2="Agricole","Industriel",Data!DP$2),IF(Data!DP$2="Agricole","Industriel",Data!DP$2),IF(Data!DP$2="Agricole","Agricole","Affaires"),IF(Data!DP$2="Transport","Transport","Affaires"),IF(Data!DP$2="Agricole","Industriel",Data!DP$2))</f>
        <v>#VALUE!</v>
      </c>
      <c r="AN43" s="315">
        <f ca="1">IF(C43="Innovation","1159400",IF(C43="Gestion","1151000",IF(C43="OPTER","1151210",IF(AND(C43="Connaissances",D43="Écoconduite"),"1157170",IF(AND(C43="Conversion",D43="Bioénergies"),"1151240",IF(AND(C43="Conversion",D43="Solaires"),"1151202",INDEX(OFFSET(Type_Entreprise,,2,,),MATCH('1. Demande'!AI$76,Type_Entreprise,0))))))))</f>
        <v>0</v>
      </c>
      <c r="AO43"/>
      <c r="AP43"/>
    </row>
    <row r="44" spans="1:42" ht="15.75" customHeight="1">
      <c r="A44" s="36"/>
      <c r="B44" s="37"/>
      <c r="C44" s="37" t="s">
        <v>189</v>
      </c>
      <c r="D44" s="37"/>
      <c r="E44" s="37" t="s">
        <v>189</v>
      </c>
      <c r="F44" s="37"/>
      <c r="G44" s="252">
        <f ca="1" t="shared" si="0"/>
      </c>
      <c r="H44" s="373"/>
      <c r="I44" s="254"/>
      <c r="J44" s="37"/>
      <c r="K44" s="271"/>
      <c r="L44" s="254"/>
      <c r="M44" s="269"/>
      <c r="N44" s="375"/>
      <c r="O44" s="253">
        <f ca="1" t="shared" si="1"/>
      </c>
      <c r="P44" s="256">
        <f ca="1" t="shared" si="2"/>
      </c>
      <c r="Q44" s="378">
        <v>0</v>
      </c>
      <c r="R44" s="378">
        <v>0</v>
      </c>
      <c r="S44" s="378">
        <v>0</v>
      </c>
      <c r="T44" s="379"/>
      <c r="U44" s="378"/>
      <c r="V44" s="36" t="s">
        <v>189</v>
      </c>
      <c r="W44" s="71"/>
      <c r="X44" s="71"/>
      <c r="Y44" s="382"/>
      <c r="Z44" s="382"/>
      <c r="AA44" s="36"/>
      <c r="AB44" s="254"/>
      <c r="AC44" s="256">
        <f ca="1" t="shared" si="3"/>
      </c>
      <c r="AD44" s="253">
        <f t="shared" si="4"/>
      </c>
      <c r="AE44" s="268">
        <f t="shared" si="10"/>
      </c>
      <c r="AF44" s="315">
        <f ca="1" t="shared" si="5"/>
      </c>
      <c r="AG44" s="360">
        <f ca="1" t="shared" si="11"/>
      </c>
      <c r="AH44" s="315">
        <f ca="1" t="shared" si="6"/>
      </c>
      <c r="AI44" s="315">
        <f ca="1" t="shared" si="7"/>
      </c>
      <c r="AJ44" s="315">
        <f ca="1" t="shared" si="8"/>
        <v>0</v>
      </c>
      <c r="AK44" s="315">
        <f ca="1" t="shared" si="9"/>
      </c>
      <c r="AL44" s="315" t="e">
        <f>CHOOSE(AF44,FALSE,Data!DV$2,IF(Data!DP$2="Transport",FALSE,Data!DV$2),IF(Data!DP$2="Transport",FALSE,Data!DV$2),FALSE,FALSE,Data!DV$2)</f>
        <v>#VALUE!</v>
      </c>
      <c r="AM44" s="315" t="e">
        <f>CHOOSE(AF44,"Affaires",IF(Data!DP$2="agricole","Agricole","Affaires"),IF(Data!DP$2="Agricole","Industriel",Data!DP$2),IF(Data!DP$2="Agricole","Industriel",Data!DP$2),IF(Data!DP$2="Agricole","Agricole","Affaires"),IF(Data!DP$2="Transport","Transport","Affaires"),IF(Data!DP$2="Agricole","Industriel",Data!DP$2))</f>
        <v>#VALUE!</v>
      </c>
      <c r="AN44" s="315">
        <f ca="1">IF(C44="Innovation","1159400",IF(C44="Gestion","1151000",IF(C44="OPTER","1151210",IF(AND(C44="Connaissances",D44="Écoconduite"),"1157170",IF(AND(C44="Conversion",D44="Bioénergies"),"1151240",IF(AND(C44="Conversion",D44="Solaires"),"1151202",INDEX(OFFSET(Type_Entreprise,,2,,),MATCH('1. Demande'!AI$76,Type_Entreprise,0))))))))</f>
        <v>0</v>
      </c>
      <c r="AO44"/>
      <c r="AP44"/>
    </row>
    <row r="45" spans="1:42" ht="15.75" customHeight="1">
      <c r="A45" s="36"/>
      <c r="B45" s="37"/>
      <c r="C45" s="37" t="s">
        <v>189</v>
      </c>
      <c r="D45" s="37"/>
      <c r="E45" s="37" t="s">
        <v>189</v>
      </c>
      <c r="F45" s="37"/>
      <c r="G45" s="252">
        <f ca="1" t="shared" si="0"/>
      </c>
      <c r="H45" s="373"/>
      <c r="I45" s="254"/>
      <c r="J45" s="37"/>
      <c r="K45" s="271"/>
      <c r="L45" s="254"/>
      <c r="M45" s="269"/>
      <c r="N45" s="375"/>
      <c r="O45" s="253">
        <f ca="1" t="shared" si="1"/>
      </c>
      <c r="P45" s="256">
        <f ca="1" t="shared" si="2"/>
      </c>
      <c r="Q45" s="378">
        <v>0</v>
      </c>
      <c r="R45" s="378">
        <v>0</v>
      </c>
      <c r="S45" s="378">
        <v>0</v>
      </c>
      <c r="T45" s="379"/>
      <c r="U45" s="378"/>
      <c r="V45" s="36" t="s">
        <v>189</v>
      </c>
      <c r="W45" s="71"/>
      <c r="X45" s="71"/>
      <c r="Y45" s="382"/>
      <c r="Z45" s="382"/>
      <c r="AA45" s="36"/>
      <c r="AB45" s="254"/>
      <c r="AC45" s="256">
        <f ca="1" t="shared" si="3"/>
      </c>
      <c r="AD45" s="253">
        <f t="shared" si="4"/>
      </c>
      <c r="AE45" s="268">
        <f t="shared" si="10"/>
      </c>
      <c r="AF45" s="315">
        <f ca="1" t="shared" si="5"/>
      </c>
      <c r="AG45" s="360">
        <f ca="1" t="shared" si="11"/>
      </c>
      <c r="AH45" s="315">
        <f ca="1" t="shared" si="6"/>
      </c>
      <c r="AI45" s="315">
        <f ca="1" t="shared" si="7"/>
      </c>
      <c r="AJ45" s="315">
        <f ca="1" t="shared" si="8"/>
        <v>0</v>
      </c>
      <c r="AK45" s="315">
        <f ca="1" t="shared" si="9"/>
      </c>
      <c r="AL45" s="315" t="e">
        <f>CHOOSE(AF45,FALSE,Data!DV$2,IF(Data!DP$2="Transport",FALSE,Data!DV$2),IF(Data!DP$2="Transport",FALSE,Data!DV$2),FALSE,FALSE,Data!DV$2)</f>
        <v>#VALUE!</v>
      </c>
      <c r="AM45" s="315" t="e">
        <f>CHOOSE(AF45,"Affaires",IF(Data!DP$2="agricole","Agricole","Affaires"),IF(Data!DP$2="Agricole","Industriel",Data!DP$2),IF(Data!DP$2="Agricole","Industriel",Data!DP$2),IF(Data!DP$2="Agricole","Agricole","Affaires"),IF(Data!DP$2="Transport","Transport","Affaires"),IF(Data!DP$2="Agricole","Industriel",Data!DP$2))</f>
        <v>#VALUE!</v>
      </c>
      <c r="AN45" s="315">
        <f ca="1">IF(C45="Innovation","1159400",IF(C45="Gestion","1151000",IF(C45="OPTER","1151210",IF(AND(C45="Connaissances",D45="Écoconduite"),"1157170",IF(AND(C45="Conversion",D45="Bioénergies"),"1151240",IF(AND(C45="Conversion",D45="Solaires"),"1151202",INDEX(OFFSET(Type_Entreprise,,2,,),MATCH('1. Demande'!AI$76,Type_Entreprise,0))))))))</f>
        <v>0</v>
      </c>
      <c r="AO45"/>
      <c r="AP45"/>
    </row>
    <row r="46" spans="1:42" ht="15.75" customHeight="1">
      <c r="A46" s="36"/>
      <c r="B46" s="37"/>
      <c r="C46" s="37" t="s">
        <v>189</v>
      </c>
      <c r="D46" s="37"/>
      <c r="E46" s="37" t="s">
        <v>189</v>
      </c>
      <c r="F46" s="37"/>
      <c r="G46" s="252">
        <f ca="1" t="shared" si="0"/>
      </c>
      <c r="H46" s="373"/>
      <c r="I46" s="254"/>
      <c r="J46" s="37"/>
      <c r="K46" s="271"/>
      <c r="L46" s="254"/>
      <c r="M46" s="269"/>
      <c r="N46" s="375"/>
      <c r="O46" s="253">
        <f ca="1" t="shared" si="1"/>
      </c>
      <c r="P46" s="256">
        <f ca="1" t="shared" si="2"/>
      </c>
      <c r="Q46" s="378">
        <v>0</v>
      </c>
      <c r="R46" s="378">
        <v>0</v>
      </c>
      <c r="S46" s="378">
        <v>0</v>
      </c>
      <c r="T46" s="379"/>
      <c r="U46" s="378"/>
      <c r="V46" s="36" t="s">
        <v>189</v>
      </c>
      <c r="W46" s="71"/>
      <c r="X46" s="71"/>
      <c r="Y46" s="382"/>
      <c r="Z46" s="382"/>
      <c r="AA46" s="36"/>
      <c r="AB46" s="254"/>
      <c r="AC46" s="256">
        <f ca="1" t="shared" si="3"/>
      </c>
      <c r="AD46" s="253">
        <f t="shared" si="4"/>
      </c>
      <c r="AE46" s="268">
        <f t="shared" si="10"/>
      </c>
      <c r="AF46" s="315">
        <f ca="1" t="shared" si="5"/>
      </c>
      <c r="AG46" s="360">
        <f ca="1" t="shared" si="11"/>
      </c>
      <c r="AH46" s="315">
        <f ca="1" t="shared" si="6"/>
      </c>
      <c r="AI46" s="315">
        <f ca="1" t="shared" si="7"/>
      </c>
      <c r="AJ46" s="315">
        <f ca="1" t="shared" si="8"/>
        <v>0</v>
      </c>
      <c r="AK46" s="315">
        <f ca="1" t="shared" si="9"/>
      </c>
      <c r="AL46" s="315" t="e">
        <f>CHOOSE(AF46,FALSE,Data!DV$2,IF(Data!DP$2="Transport",FALSE,Data!DV$2),IF(Data!DP$2="Transport",FALSE,Data!DV$2),FALSE,FALSE,Data!DV$2)</f>
        <v>#VALUE!</v>
      </c>
      <c r="AM46" s="315" t="e">
        <f>CHOOSE(AF46,"Affaires",IF(Data!DP$2="agricole","Agricole","Affaires"),IF(Data!DP$2="Agricole","Industriel",Data!DP$2),IF(Data!DP$2="Agricole","Industriel",Data!DP$2),IF(Data!DP$2="Agricole","Agricole","Affaires"),IF(Data!DP$2="Transport","Transport","Affaires"),IF(Data!DP$2="Agricole","Industriel",Data!DP$2))</f>
        <v>#VALUE!</v>
      </c>
      <c r="AN46" s="315">
        <f ca="1">IF(C46="Innovation","1159400",IF(C46="Gestion","1151000",IF(C46="OPTER","1151210",IF(AND(C46="Connaissances",D46="Écoconduite"),"1157170",IF(AND(C46="Conversion",D46="Bioénergies"),"1151240",IF(AND(C46="Conversion",D46="Solaires"),"1151202",INDEX(OFFSET(Type_Entreprise,,2,,),MATCH('1. Demande'!AI$76,Type_Entreprise,0))))))))</f>
        <v>0</v>
      </c>
      <c r="AO46"/>
      <c r="AP46"/>
    </row>
    <row r="47" spans="1:42" ht="15.75" customHeight="1">
      <c r="A47" s="36"/>
      <c r="B47" s="37"/>
      <c r="C47" s="37" t="s">
        <v>189</v>
      </c>
      <c r="D47" s="37"/>
      <c r="E47" s="37" t="s">
        <v>189</v>
      </c>
      <c r="F47" s="37"/>
      <c r="G47" s="252">
        <f ca="1" t="shared" si="0"/>
      </c>
      <c r="H47" s="373"/>
      <c r="I47" s="254"/>
      <c r="J47" s="37"/>
      <c r="K47" s="271"/>
      <c r="L47" s="254"/>
      <c r="M47" s="269"/>
      <c r="N47" s="375"/>
      <c r="O47" s="253">
        <f ca="1" t="shared" si="1"/>
      </c>
      <c r="P47" s="256">
        <f ca="1" t="shared" si="2"/>
      </c>
      <c r="Q47" s="378">
        <v>0</v>
      </c>
      <c r="R47" s="378">
        <v>0</v>
      </c>
      <c r="S47" s="378">
        <v>0</v>
      </c>
      <c r="T47" s="379"/>
      <c r="U47" s="378"/>
      <c r="V47" s="36" t="s">
        <v>189</v>
      </c>
      <c r="W47" s="71"/>
      <c r="X47" s="71"/>
      <c r="Y47" s="382"/>
      <c r="Z47" s="382"/>
      <c r="AA47" s="36"/>
      <c r="AB47" s="254"/>
      <c r="AC47" s="256">
        <f ca="1" t="shared" si="3"/>
      </c>
      <c r="AD47" s="253">
        <f t="shared" si="4"/>
      </c>
      <c r="AE47" s="268">
        <f t="shared" si="10"/>
      </c>
      <c r="AF47" s="315">
        <f ca="1" t="shared" si="5"/>
      </c>
      <c r="AG47" s="360">
        <f ca="1" t="shared" si="11"/>
      </c>
      <c r="AH47" s="315">
        <f ca="1" t="shared" si="6"/>
      </c>
      <c r="AI47" s="315">
        <f ca="1" t="shared" si="7"/>
      </c>
      <c r="AJ47" s="315">
        <f ca="1" t="shared" si="8"/>
        <v>0</v>
      </c>
      <c r="AK47" s="315">
        <f ca="1" t="shared" si="9"/>
      </c>
      <c r="AL47" s="315" t="e">
        <f>CHOOSE(AF47,FALSE,Data!DV$2,IF(Data!DP$2="Transport",FALSE,Data!DV$2),IF(Data!DP$2="Transport",FALSE,Data!DV$2),FALSE,FALSE,Data!DV$2)</f>
        <v>#VALUE!</v>
      </c>
      <c r="AM47" s="315" t="e">
        <f>CHOOSE(AF47,"Affaires",IF(Data!DP$2="agricole","Agricole","Affaires"),IF(Data!DP$2="Agricole","Industriel",Data!DP$2),IF(Data!DP$2="Agricole","Industriel",Data!DP$2),IF(Data!DP$2="Agricole","Agricole","Affaires"),IF(Data!DP$2="Transport","Transport","Affaires"),IF(Data!DP$2="Agricole","Industriel",Data!DP$2))</f>
        <v>#VALUE!</v>
      </c>
      <c r="AN47" s="315">
        <f ca="1">IF(C47="Innovation","1159400",IF(C47="Gestion","1151000",IF(C47="OPTER","1151210",IF(AND(C47="Connaissances",D47="Écoconduite"),"1157170",IF(AND(C47="Conversion",D47="Bioénergies"),"1151240",IF(AND(C47="Conversion",D47="Solaires"),"1151202",INDEX(OFFSET(Type_Entreprise,,2,,),MATCH('1. Demande'!AI$76,Type_Entreprise,0))))))))</f>
        <v>0</v>
      </c>
      <c r="AO47"/>
      <c r="AP47"/>
    </row>
    <row r="48" spans="1:42" ht="15.75" customHeight="1">
      <c r="A48" s="36"/>
      <c r="B48" s="37"/>
      <c r="C48" s="37" t="s">
        <v>189</v>
      </c>
      <c r="D48" s="37"/>
      <c r="E48" s="37" t="s">
        <v>189</v>
      </c>
      <c r="F48" s="37"/>
      <c r="G48" s="252">
        <f ca="1" t="shared" si="0"/>
      </c>
      <c r="H48" s="373"/>
      <c r="I48" s="254"/>
      <c r="J48" s="37"/>
      <c r="K48" s="271"/>
      <c r="L48" s="254"/>
      <c r="M48" s="269"/>
      <c r="N48" s="375"/>
      <c r="O48" s="253">
        <f ca="1" t="shared" si="1"/>
      </c>
      <c r="P48" s="256">
        <f ca="1" t="shared" si="2"/>
      </c>
      <c r="Q48" s="378">
        <v>0</v>
      </c>
      <c r="R48" s="378">
        <v>0</v>
      </c>
      <c r="S48" s="378">
        <v>0</v>
      </c>
      <c r="T48" s="379"/>
      <c r="U48" s="378"/>
      <c r="V48" s="36" t="s">
        <v>189</v>
      </c>
      <c r="W48" s="71"/>
      <c r="X48" s="71"/>
      <c r="Y48" s="382"/>
      <c r="Z48" s="382"/>
      <c r="AA48" s="36"/>
      <c r="AB48" s="254"/>
      <c r="AC48" s="256">
        <f ca="1" t="shared" si="3"/>
      </c>
      <c r="AD48" s="253">
        <f t="shared" si="4"/>
      </c>
      <c r="AE48" s="268">
        <f t="shared" si="10"/>
      </c>
      <c r="AF48" s="315">
        <f ca="1" t="shared" si="5"/>
      </c>
      <c r="AG48" s="360">
        <f ca="1" t="shared" si="11"/>
      </c>
      <c r="AH48" s="315">
        <f ca="1" t="shared" si="6"/>
      </c>
      <c r="AI48" s="315">
        <f ca="1" t="shared" si="7"/>
      </c>
      <c r="AJ48" s="315">
        <f ca="1" t="shared" si="8"/>
        <v>0</v>
      </c>
      <c r="AK48" s="315">
        <f ca="1" t="shared" si="9"/>
      </c>
      <c r="AL48" s="315" t="e">
        <f>CHOOSE(AF48,FALSE,Data!DV$2,IF(Data!DP$2="Transport",FALSE,Data!DV$2),IF(Data!DP$2="Transport",FALSE,Data!DV$2),FALSE,FALSE,Data!DV$2)</f>
        <v>#VALUE!</v>
      </c>
      <c r="AM48" s="315" t="e">
        <f>CHOOSE(AF48,"Affaires",IF(Data!DP$2="agricole","Agricole","Affaires"),IF(Data!DP$2="Agricole","Industriel",Data!DP$2),IF(Data!DP$2="Agricole","Industriel",Data!DP$2),IF(Data!DP$2="Agricole","Agricole","Affaires"),IF(Data!DP$2="Transport","Transport","Affaires"),IF(Data!DP$2="Agricole","Industriel",Data!DP$2))</f>
        <v>#VALUE!</v>
      </c>
      <c r="AN48" s="315">
        <f ca="1">IF(C48="Innovation","1159400",IF(C48="Gestion","1151000",IF(C48="OPTER","1151210",IF(AND(C48="Connaissances",D48="Écoconduite"),"1157170",IF(AND(C48="Conversion",D48="Bioénergies"),"1151240",IF(AND(C48="Conversion",D48="Solaires"),"1151202",INDEX(OFFSET(Type_Entreprise,,2,,),MATCH('1. Demande'!AI$76,Type_Entreprise,0))))))))</f>
        <v>0</v>
      </c>
      <c r="AO48"/>
      <c r="AP48"/>
    </row>
    <row r="49" spans="1:42" ht="15.75" customHeight="1" thickBot="1">
      <c r="A49" s="38"/>
      <c r="B49" s="39"/>
      <c r="C49" s="37" t="s">
        <v>189</v>
      </c>
      <c r="D49" s="37"/>
      <c r="E49" s="37" t="s">
        <v>189</v>
      </c>
      <c r="F49" s="37"/>
      <c r="G49" s="252">
        <f ca="1" t="shared" si="0"/>
      </c>
      <c r="H49" s="373"/>
      <c r="I49" s="255"/>
      <c r="J49" s="39"/>
      <c r="K49" s="272"/>
      <c r="L49" s="255"/>
      <c r="M49" s="270"/>
      <c r="N49" s="376"/>
      <c r="O49" s="253">
        <f ca="1" t="shared" si="1"/>
      </c>
      <c r="P49" s="256">
        <f ca="1" t="shared" si="2"/>
      </c>
      <c r="Q49" s="380">
        <v>0</v>
      </c>
      <c r="R49" s="380">
        <v>0</v>
      </c>
      <c r="S49" s="378">
        <v>0</v>
      </c>
      <c r="T49" s="379"/>
      <c r="U49" s="380"/>
      <c r="V49" s="36" t="s">
        <v>189</v>
      </c>
      <c r="W49" s="72"/>
      <c r="X49" s="72"/>
      <c r="Y49" s="383"/>
      <c r="Z49" s="383"/>
      <c r="AA49" s="38"/>
      <c r="AB49" s="255"/>
      <c r="AC49" s="256">
        <f ca="1" t="shared" si="3"/>
      </c>
      <c r="AD49" s="253">
        <f t="shared" si="4"/>
      </c>
      <c r="AE49" s="268">
        <f t="shared" si="10"/>
      </c>
      <c r="AF49" s="315">
        <f ca="1" t="shared" si="5"/>
      </c>
      <c r="AG49" s="360">
        <f ca="1" t="shared" si="11"/>
      </c>
      <c r="AH49" s="315">
        <f ca="1" t="shared" si="6"/>
      </c>
      <c r="AI49" s="315">
        <f ca="1" t="shared" si="7"/>
      </c>
      <c r="AJ49" s="315">
        <f ca="1" t="shared" si="8"/>
        <v>0</v>
      </c>
      <c r="AK49" s="315">
        <f ca="1" t="shared" si="9"/>
      </c>
      <c r="AL49" s="315" t="e">
        <f>CHOOSE(AF49,FALSE,Data!DV$2,IF(Data!DP$2="Transport",FALSE,Data!DV$2),IF(Data!DP$2="Transport",FALSE,Data!DV$2),FALSE,FALSE,Data!DV$2)</f>
        <v>#VALUE!</v>
      </c>
      <c r="AM49" s="315" t="e">
        <f>CHOOSE(AF49,"Affaires",IF(Data!DP$2="agricole","Agricole","Affaires"),IF(Data!DP$2="Agricole","Industriel",Data!DP$2),IF(Data!DP$2="Agricole","Industriel",Data!DP$2),IF(Data!DP$2="Agricole","Agricole","Affaires"),IF(Data!DP$2="Transport","Transport","Affaires"),IF(Data!DP$2="Agricole","Industriel",Data!DP$2))</f>
        <v>#VALUE!</v>
      </c>
      <c r="AN49" s="315">
        <f ca="1">IF(C49="Innovation","1159400",IF(C49="Gestion","1151000",IF(C49="OPTER","1151210",IF(AND(C49="Connaissances",D49="Écoconduite"),"1157170",IF(AND(C49="Conversion",D49="Bioénergies"),"1151240",IF(AND(C49="Conversion",D49="Solaires"),"1151202",INDEX(OFFSET(Type_Entreprise,,2,,),MATCH('1. Demande'!AI$76,Type_Entreprise,0))))))))</f>
        <v>0</v>
      </c>
      <c r="AO49"/>
      <c r="AP49"/>
    </row>
    <row r="50" spans="1:31" ht="13.5" thickTop="1">
      <c r="A50" s="550"/>
      <c r="B50" s="549"/>
      <c r="C50" s="60" t="s">
        <v>126</v>
      </c>
      <c r="D50" s="550"/>
      <c r="E50" s="551"/>
      <c r="F50" s="546"/>
      <c r="G50" s="546"/>
      <c r="H50" s="546"/>
      <c r="I50" s="552"/>
      <c r="J50" s="552"/>
      <c r="K50" s="552"/>
      <c r="L50" s="552"/>
      <c r="M50" s="553"/>
      <c r="N50" s="377">
        <f aca="true" t="shared" si="12" ref="N50:U50">SUM(N16:N49)</f>
        <v>0</v>
      </c>
      <c r="O50" s="257">
        <f t="shared" si="12"/>
        <v>0</v>
      </c>
      <c r="P50" s="258">
        <f t="shared" si="12"/>
        <v>0</v>
      </c>
      <c r="Q50" s="377">
        <f t="shared" si="12"/>
        <v>0</v>
      </c>
      <c r="R50" s="377">
        <f t="shared" si="12"/>
        <v>0</v>
      </c>
      <c r="S50" s="377">
        <f t="shared" si="12"/>
        <v>0</v>
      </c>
      <c r="T50" s="377">
        <f t="shared" si="12"/>
        <v>0</v>
      </c>
      <c r="U50" s="377">
        <f t="shared" si="12"/>
        <v>0</v>
      </c>
      <c r="V50" s="545"/>
      <c r="W50" s="546"/>
      <c r="X50" s="546"/>
      <c r="Y50" s="546"/>
      <c r="Z50" s="546"/>
      <c r="AA50" s="547"/>
      <c r="AB50" s="547"/>
      <c r="AC50" s="546"/>
      <c r="AD50" s="548"/>
      <c r="AE50" s="549"/>
    </row>
    <row r="51" spans="1:42" s="45" customFormat="1" ht="12.75">
      <c r="A51" s="260"/>
      <c r="B51" s="261"/>
      <c r="C51" s="260"/>
      <c r="D51" s="260"/>
      <c r="E51" s="260"/>
      <c r="F51" s="261"/>
      <c r="G51" s="261"/>
      <c r="H51" s="261"/>
      <c r="I51" s="326"/>
      <c r="J51" s="326"/>
      <c r="K51" s="326"/>
      <c r="L51" s="326"/>
      <c r="M51" s="262"/>
      <c r="N51" s="262"/>
      <c r="O51" s="263"/>
      <c r="P51" s="264"/>
      <c r="Q51" s="262"/>
      <c r="R51" s="262"/>
      <c r="S51" s="262"/>
      <c r="T51" s="262"/>
      <c r="U51" s="262"/>
      <c r="V51" s="261"/>
      <c r="W51" s="261"/>
      <c r="X51" s="261"/>
      <c r="Y51" s="261"/>
      <c r="Z51" s="261"/>
      <c r="AA51" s="265"/>
      <c r="AB51" s="265"/>
      <c r="AC51" s="261"/>
      <c r="AD51" s="266"/>
      <c r="AE51" s="261"/>
      <c r="AF51" s="361"/>
      <c r="AG51" s="361"/>
      <c r="AH51" s="361"/>
      <c r="AI51" s="361"/>
      <c r="AJ51" s="361"/>
      <c r="AK51" s="361"/>
      <c r="AL51" s="361"/>
      <c r="AM51" s="361"/>
      <c r="AN51" s="361"/>
      <c r="AO51" s="361"/>
      <c r="AP51" s="361"/>
    </row>
    <row r="52" spans="1:30" ht="12.75">
      <c r="A52" s="61"/>
      <c r="B52" s="58"/>
      <c r="F52" s="58"/>
      <c r="G52" s="58"/>
      <c r="H52" s="58"/>
      <c r="I52" s="58"/>
      <c r="J52" s="58"/>
      <c r="K52" s="58"/>
      <c r="L52" s="58"/>
      <c r="M52" s="58"/>
      <c r="N52" s="58"/>
      <c r="O52" s="58"/>
      <c r="P52" s="58"/>
      <c r="Q52" s="58"/>
      <c r="Y52" s="58"/>
      <c r="Z52" s="58"/>
      <c r="AA52" s="58"/>
      <c r="AC52" s="62"/>
      <c r="AD52" s="62"/>
    </row>
    <row r="53" spans="1:32" ht="15.75" customHeight="1">
      <c r="A53" s="482" t="s">
        <v>971</v>
      </c>
      <c r="B53" s="29"/>
      <c r="C53" s="29"/>
      <c r="D53" s="29"/>
      <c r="E53" s="29"/>
      <c r="F53" s="29"/>
      <c r="G53" s="29"/>
      <c r="H53" s="29"/>
      <c r="I53" s="29"/>
      <c r="J53" s="29"/>
      <c r="K53" s="29"/>
      <c r="L53" s="29"/>
      <c r="M53" s="29"/>
      <c r="N53" s="29"/>
      <c r="O53" s="29"/>
      <c r="P53" s="29"/>
      <c r="Q53" s="29"/>
      <c r="R53" s="29"/>
      <c r="S53" s="29"/>
      <c r="T53" s="29"/>
      <c r="U53" s="29"/>
      <c r="V53" s="29"/>
      <c r="W53" s="481"/>
      <c r="X53" s="29"/>
      <c r="Y53" s="29"/>
      <c r="Z53" s="29"/>
      <c r="AA53" s="29"/>
      <c r="AB53" s="29"/>
      <c r="AC53" s="29"/>
      <c r="AD53" s="591">
        <f>Instructions!$J$45</f>
        <v>45364</v>
      </c>
      <c r="AE53" s="591"/>
      <c r="AF53" s="591"/>
    </row>
    <row r="54" spans="1:32" ht="6" customHeight="1">
      <c r="A54" s="538"/>
      <c r="B54" s="538"/>
      <c r="C54" s="538"/>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row>
    <row r="55" spans="1:31" ht="12.75">
      <c r="A55" s="61"/>
      <c r="J55" s="58"/>
      <c r="K55" s="58"/>
      <c r="L55" s="58"/>
      <c r="M55" s="58"/>
      <c r="N55" s="58"/>
      <c r="O55" s="58"/>
      <c r="P55" s="58"/>
      <c r="Q55" s="58"/>
      <c r="Y55" s="63"/>
      <c r="Z55" s="63"/>
      <c r="AA55" s="63"/>
      <c r="AB55" s="61"/>
      <c r="AC55" s="63"/>
      <c r="AD55" s="63"/>
      <c r="AE55" s="63"/>
    </row>
    <row r="56" spans="1:31" ht="12.75">
      <c r="A56" s="61"/>
      <c r="B56" s="30"/>
      <c r="F56" s="30"/>
      <c r="G56" s="30"/>
      <c r="H56" s="30"/>
      <c r="J56" s="58"/>
      <c r="K56" s="58"/>
      <c r="L56" s="58"/>
      <c r="M56" s="58"/>
      <c r="N56" s="58"/>
      <c r="O56" s="58"/>
      <c r="P56" s="58"/>
      <c r="Q56" s="58"/>
      <c r="Y56" s="63"/>
      <c r="Z56" s="63"/>
      <c r="AA56" s="63"/>
      <c r="AB56" s="61"/>
      <c r="AC56" s="63"/>
      <c r="AD56" s="63"/>
      <c r="AE56" s="63"/>
    </row>
    <row r="57" spans="1:31" ht="12.75">
      <c r="A57" s="61"/>
      <c r="B57" s="35"/>
      <c r="F57" s="35"/>
      <c r="G57" s="35"/>
      <c r="H57" s="35"/>
      <c r="I57" s="30"/>
      <c r="J57" s="58"/>
      <c r="K57" s="58"/>
      <c r="L57" s="58"/>
      <c r="M57" s="58"/>
      <c r="N57" s="58"/>
      <c r="O57" s="58"/>
      <c r="P57" s="58"/>
      <c r="Q57" s="58"/>
      <c r="Y57" s="58"/>
      <c r="Z57" s="58"/>
      <c r="AA57" s="64"/>
      <c r="AB57" s="64"/>
      <c r="AC57" s="64"/>
      <c r="AD57" s="58"/>
      <c r="AE57" s="58"/>
    </row>
    <row r="58" spans="1:31" ht="12.75">
      <c r="A58" s="61"/>
      <c r="J58" s="58"/>
      <c r="K58" s="58"/>
      <c r="L58" s="58"/>
      <c r="M58" s="58"/>
      <c r="N58" s="58"/>
      <c r="O58" s="58"/>
      <c r="P58" s="58"/>
      <c r="Q58" s="58"/>
      <c r="Y58" s="58"/>
      <c r="Z58" s="58"/>
      <c r="AA58" s="64"/>
      <c r="AB58" s="64"/>
      <c r="AC58" s="64"/>
      <c r="AD58" s="58"/>
      <c r="AE58" s="58"/>
    </row>
    <row r="59" spans="1:31" ht="12.75">
      <c r="A59" s="275"/>
      <c r="J59" s="61"/>
      <c r="K59" s="58"/>
      <c r="L59" s="58"/>
      <c r="M59" s="58"/>
      <c r="N59" s="58"/>
      <c r="O59" s="58"/>
      <c r="P59" s="58"/>
      <c r="Q59" s="58"/>
      <c r="S59" s="58"/>
      <c r="T59" s="58"/>
      <c r="U59" s="58"/>
      <c r="W59" s="58"/>
      <c r="X59" s="58"/>
      <c r="Y59" s="58"/>
      <c r="Z59" s="58"/>
      <c r="AA59" s="64"/>
      <c r="AB59" s="64"/>
      <c r="AC59" s="64"/>
      <c r="AD59" s="58"/>
      <c r="AE59" s="58"/>
    </row>
  </sheetData>
  <sheetProtection password="E71A" sheet="1" objects="1" scenarios="1"/>
  <mergeCells count="43">
    <mergeCell ref="C12:C14"/>
    <mergeCell ref="L12:P12"/>
    <mergeCell ref="N13:N14"/>
    <mergeCell ref="K13:K14"/>
    <mergeCell ref="I13:I14"/>
    <mergeCell ref="L13:L14"/>
    <mergeCell ref="P13:P14"/>
    <mergeCell ref="Q13:S13"/>
    <mergeCell ref="M13:M14"/>
    <mergeCell ref="D12:D14"/>
    <mergeCell ref="AA12:AA14"/>
    <mergeCell ref="AD13:AD14"/>
    <mergeCell ref="U13:U14"/>
    <mergeCell ref="AA8:AE8"/>
    <mergeCell ref="AA9:AB9"/>
    <mergeCell ref="V13:V14"/>
    <mergeCell ref="AB13:AB14"/>
    <mergeCell ref="U12:V12"/>
    <mergeCell ref="A12:A14"/>
    <mergeCell ref="J13:J14"/>
    <mergeCell ref="AE13:AE14"/>
    <mergeCell ref="AC13:AC14"/>
    <mergeCell ref="AB12:AC12"/>
    <mergeCell ref="AD53:AF53"/>
    <mergeCell ref="A11:AA11"/>
    <mergeCell ref="H13:H14"/>
    <mergeCell ref="B12:B14"/>
    <mergeCell ref="E12:E14"/>
    <mergeCell ref="F12:K12"/>
    <mergeCell ref="G13:G14"/>
    <mergeCell ref="O13:O14"/>
    <mergeCell ref="T13:T14"/>
    <mergeCell ref="Q12:T12"/>
    <mergeCell ref="C8:H8"/>
    <mergeCell ref="Y12:Y14"/>
    <mergeCell ref="C9:D9"/>
    <mergeCell ref="F13:F14"/>
    <mergeCell ref="W13:W14"/>
    <mergeCell ref="AB11:AE11"/>
    <mergeCell ref="W12:X12"/>
    <mergeCell ref="X13:X14"/>
    <mergeCell ref="AD12:AE12"/>
    <mergeCell ref="Z12:Z14"/>
  </mergeCells>
  <conditionalFormatting sqref="E16:E49">
    <cfRule type="expression" priority="5" dxfId="0" stopIfTrue="1">
      <formula>IF(AND(L16="",E16="Choisir…"),TRUE,FALSE)</formula>
    </cfRule>
    <cfRule type="expression" priority="6" dxfId="4" stopIfTrue="1">
      <formula>IF(AND(L16&lt;&gt;"",F16="",E16="Choisir…"),TRUE,FALSE)</formula>
    </cfRule>
  </conditionalFormatting>
  <conditionalFormatting sqref="F16:F49">
    <cfRule type="expression" priority="7" dxfId="0" stopIfTrue="1">
      <formula>IF(AND(L16="",F16=""),TRUE,FALSE)</formula>
    </cfRule>
    <cfRule type="expression" priority="8" dxfId="4" stopIfTrue="1">
      <formula>IF(AND(L16&lt;&gt;"",F16=""),TRUE,FALSE)</formula>
    </cfRule>
  </conditionalFormatting>
  <conditionalFormatting sqref="C16:C49">
    <cfRule type="cellIs" priority="9" dxfId="0" operator="equal" stopIfTrue="1">
      <formula>"Choisir…"</formula>
    </cfRule>
  </conditionalFormatting>
  <conditionalFormatting sqref="D16:D49">
    <cfRule type="cellIs" priority="10" dxfId="0" operator="equal" stopIfTrue="1">
      <formula>""</formula>
    </cfRule>
  </conditionalFormatting>
  <conditionalFormatting sqref="H16:H49">
    <cfRule type="expression" priority="2" dxfId="4" stopIfTrue="1">
      <formula>IF(AND(E16="Énergie",H16="",IF(F16&lt;&gt;"",INDEX(OFFSET(Énergie,,8,,),MATCH(F16,Énergie,0))&lt;&gt;"",FALSE)),TRUE,FALSE)</formula>
    </cfRule>
    <cfRule type="expression" priority="3" dxfId="3" stopIfTrue="1">
      <formula>IF(AND(E16="Énergie",H16&lt;&gt;"",IF(F16&lt;&gt;"",INDEX(OFFSET(Énergie,,8,,),MATCH(F16,Énergie,0))&lt;&gt;"",FALSE)),TRUE,FALSE)</formula>
    </cfRule>
    <cfRule type="expression" priority="4" dxfId="2" stopIfTrue="1">
      <formula>IF(OR(E16&lt;&gt;"Énergie",AND(E16="Énergie",IF(F16&lt;&gt;"",INDEX(OFFSET(Énergie,,8,,),MATCH(F16,Énergie,0))&lt;&gt;"",FALSE))),TRUE,FALSE)</formula>
    </cfRule>
  </conditionalFormatting>
  <conditionalFormatting sqref="V16:V49">
    <cfRule type="cellIs" priority="1" dxfId="0" operator="equal" stopIfTrue="1">
      <formula>"Choisir…"</formula>
    </cfRule>
  </conditionalFormatting>
  <dataValidations count="5">
    <dataValidation type="list" allowBlank="1" showInputMessage="1" showErrorMessage="1" sqref="V16:V49">
      <formula1>Fin_Autre</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r:id="rId4"/>
  <headerFooter>
    <oddFooter>&amp;L&amp;"Arial Narrow,Gras"&amp;8Ministère de l’Environnement, de la Lutte contre les changements climatiques, de la Faune et des Parcs&amp;R&amp;"Arial Narrow,Normal"&amp;8 2023-05-25</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Feuil7">
    <pageSetUpPr fitToPage="1"/>
  </sheetPr>
  <dimension ref="A4:AN53"/>
  <sheetViews>
    <sheetView showGridLines="0" showRowColHeaders="0" zoomScalePageLayoutView="0" workbookViewId="0" topLeftCell="A1">
      <selection activeCell="B15" sqref="B15"/>
    </sheetView>
  </sheetViews>
  <sheetFormatPr defaultColWidth="11.421875" defaultRowHeight="12.75"/>
  <cols>
    <col min="1" max="1" width="3.421875" style="0" customWidth="1"/>
    <col min="3" max="3" width="9.8515625" style="0" customWidth="1"/>
    <col min="4" max="4" width="25.421875" style="0" customWidth="1"/>
    <col min="5" max="5" width="44.421875" style="0" customWidth="1"/>
    <col min="6" max="6" width="42.421875" style="0" customWidth="1"/>
    <col min="7" max="7" width="34.57421875" style="0" customWidth="1"/>
    <col min="9" max="9" width="15.00390625" style="0" customWidth="1"/>
    <col min="10" max="14" width="11.421875" style="318" customWidth="1"/>
  </cols>
  <sheetData>
    <row r="1" ht="12.75"/>
    <row r="2" ht="18" customHeight="1"/>
    <row r="3" ht="6.75" customHeight="1"/>
    <row r="4" ht="21.75">
      <c r="D4" s="445"/>
    </row>
    <row r="5" ht="3.75" customHeight="1"/>
    <row r="6" spans="10:14" ht="19.5" customHeight="1">
      <c r="J6" s="315"/>
      <c r="K6" s="315"/>
      <c r="L6" s="315"/>
      <c r="M6" s="315"/>
      <c r="N6" s="315"/>
    </row>
    <row r="7" spans="2:17" ht="1.5" customHeight="1">
      <c r="B7" s="177"/>
      <c r="C7" s="120"/>
      <c r="D7" s="120"/>
      <c r="E7" s="120"/>
      <c r="F7" s="175"/>
      <c r="G7" s="175"/>
      <c r="H7" s="120"/>
      <c r="I7" s="175"/>
      <c r="J7" s="316"/>
      <c r="K7" s="316"/>
      <c r="L7" s="316"/>
      <c r="M7" s="316"/>
      <c r="N7" s="317"/>
      <c r="O7" s="176"/>
      <c r="P7" s="175"/>
      <c r="Q7" s="120"/>
    </row>
    <row r="8" spans="2:17" ht="3.75" customHeight="1">
      <c r="B8" s="177"/>
      <c r="C8" s="120"/>
      <c r="D8" s="120"/>
      <c r="E8" s="120"/>
      <c r="F8" s="175"/>
      <c r="G8" s="175"/>
      <c r="H8" s="120"/>
      <c r="I8" s="175"/>
      <c r="J8" s="316"/>
      <c r="K8" s="316"/>
      <c r="L8" s="316"/>
      <c r="M8" s="316"/>
      <c r="N8" s="317"/>
      <c r="O8" s="176"/>
      <c r="P8" s="175"/>
      <c r="Q8" s="120"/>
    </row>
    <row r="9" spans="2:13" ht="12.75">
      <c r="B9" s="446" t="s">
        <v>1144</v>
      </c>
      <c r="C9" s="291"/>
      <c r="D9" s="1069">
        <f>IF('1. Demande'!H11="","",'1. Demande'!H11)</f>
      </c>
      <c r="E9" s="1069"/>
      <c r="F9" s="241" t="s">
        <v>256</v>
      </c>
      <c r="G9" s="1103" t="str">
        <f>IF('2. Plan d''implantation'!AB8="","",'2. Plan d''implantation'!AB8)</f>
        <v> </v>
      </c>
      <c r="H9" s="1103"/>
      <c r="I9" s="290"/>
      <c r="J9" s="290"/>
      <c r="K9" s="290"/>
      <c r="L9" s="321"/>
      <c r="M9" s="321"/>
    </row>
    <row r="10" spans="1:17" ht="12.75">
      <c r="A10" s="420"/>
      <c r="B10" s="446" t="s">
        <v>1149</v>
      </c>
      <c r="C10" s="291"/>
      <c r="D10" s="1096"/>
      <c r="E10" s="1096"/>
      <c r="F10" s="179"/>
      <c r="G10" s="179"/>
      <c r="H10" s="178"/>
      <c r="I10" s="181"/>
      <c r="J10" s="319"/>
      <c r="K10" s="320"/>
      <c r="L10" s="320"/>
      <c r="M10" s="320"/>
      <c r="N10" s="321"/>
      <c r="O10" s="176"/>
      <c r="P10" s="180"/>
      <c r="Q10" s="120"/>
    </row>
    <row r="11" spans="2:17" ht="12.75">
      <c r="B11" s="240" t="s">
        <v>110</v>
      </c>
      <c r="C11" s="291"/>
      <c r="D11" s="949"/>
      <c r="E11" s="949"/>
      <c r="F11" s="179"/>
      <c r="G11" s="179"/>
      <c r="H11" s="178"/>
      <c r="I11" s="181"/>
      <c r="J11" s="319"/>
      <c r="K11" s="320"/>
      <c r="L11" s="320"/>
      <c r="M11" s="320"/>
      <c r="N11" s="321"/>
      <c r="O11" s="176"/>
      <c r="P11" s="180"/>
      <c r="Q11" s="120"/>
    </row>
    <row r="12" spans="1:17" ht="7.5" customHeight="1">
      <c r="A12" s="120"/>
      <c r="B12" s="240"/>
      <c r="C12" s="325"/>
      <c r="D12" s="325"/>
      <c r="E12" s="178"/>
      <c r="F12" s="179"/>
      <c r="G12" s="179"/>
      <c r="H12" s="178"/>
      <c r="I12" s="181"/>
      <c r="J12" s="319"/>
      <c r="K12" s="320"/>
      <c r="L12" s="320"/>
      <c r="M12" s="320"/>
      <c r="N12" s="321"/>
      <c r="O12" s="176"/>
      <c r="P12" s="180"/>
      <c r="Q12" s="120"/>
    </row>
    <row r="13" spans="1:12" ht="15.75" customHeight="1">
      <c r="A13" s="477" t="s">
        <v>261</v>
      </c>
      <c r="B13" s="478" t="s">
        <v>236</v>
      </c>
      <c r="C13" s="478" t="s">
        <v>161</v>
      </c>
      <c r="D13" s="479" t="s">
        <v>190</v>
      </c>
      <c r="E13" s="480" t="s">
        <v>964</v>
      </c>
      <c r="F13" s="480" t="s">
        <v>113</v>
      </c>
      <c r="G13" s="480" t="s">
        <v>172</v>
      </c>
      <c r="H13" s="544" t="s">
        <v>115</v>
      </c>
      <c r="I13" s="267"/>
      <c r="J13" s="267" t="s">
        <v>810</v>
      </c>
      <c r="K13" s="267" t="s">
        <v>811</v>
      </c>
      <c r="L13" s="267" t="s">
        <v>824</v>
      </c>
    </row>
    <row r="14" spans="1:12" ht="13.5" customHeight="1" hidden="1">
      <c r="A14" s="246" t="s">
        <v>824</v>
      </c>
      <c r="B14" s="243" t="s">
        <v>236</v>
      </c>
      <c r="C14" s="243" t="s">
        <v>161</v>
      </c>
      <c r="D14" s="244" t="s">
        <v>190</v>
      </c>
      <c r="E14" s="245" t="s">
        <v>262</v>
      </c>
      <c r="F14" s="245" t="s">
        <v>113</v>
      </c>
      <c r="G14" s="245" t="s">
        <v>172</v>
      </c>
      <c r="H14" s="243" t="s">
        <v>115</v>
      </c>
      <c r="I14" s="267" t="s">
        <v>145</v>
      </c>
      <c r="J14" s="267" t="s">
        <v>810</v>
      </c>
      <c r="K14" s="267" t="s">
        <v>811</v>
      </c>
      <c r="L14" s="267" t="s">
        <v>824</v>
      </c>
    </row>
    <row r="15" spans="1:12" ht="20.25" customHeight="1">
      <c r="A15" s="247" t="b">
        <v>0</v>
      </c>
      <c r="B15" s="450"/>
      <c r="C15" s="450"/>
      <c r="D15" s="450" t="s">
        <v>189</v>
      </c>
      <c r="E15" s="450"/>
      <c r="F15" s="450"/>
      <c r="G15" s="450"/>
      <c r="H15" s="450"/>
      <c r="I15" s="267">
        <f aca="true" ca="1" t="shared" si="0" ref="I15:I43">IF(D15="Choisir…","",INDEX(OFFSET(Type_Entreprise,,1,,),MATCH(D15,Type_Entreprise,0)))</f>
      </c>
      <c r="J15" s="267">
        <f aca="true" ca="1" t="shared" si="1" ref="J15:J43">IF(D15="Choisir…","",INDEX(OFFSET(Type_Entreprise,,-1,,),MATCH(D15,Type_Entreprise,0)))</f>
      </c>
      <c r="K15" s="267">
        <f aca="true" ca="1" t="shared" si="2" ref="K15:K43">IF(D15="Choisir…","",INDEX(OFFSET(Type_Entreprise,,1,,),MATCH(D15,Type_Entreprise,0)))</f>
      </c>
      <c r="L15" s="267" t="b">
        <f>A15</f>
        <v>0</v>
      </c>
    </row>
    <row r="16" spans="1:12" ht="20.25" customHeight="1">
      <c r="A16" s="247" t="b">
        <v>0</v>
      </c>
      <c r="B16" s="450"/>
      <c r="C16" s="450"/>
      <c r="D16" s="450" t="s">
        <v>189</v>
      </c>
      <c r="E16" s="450"/>
      <c r="F16" s="450"/>
      <c r="G16" s="450"/>
      <c r="H16" s="450"/>
      <c r="I16" s="267">
        <f ca="1" t="shared" si="0"/>
      </c>
      <c r="J16" s="267">
        <f ca="1" t="shared" si="1"/>
      </c>
      <c r="K16" s="267">
        <f ca="1" t="shared" si="2"/>
      </c>
      <c r="L16" s="267" t="b">
        <f aca="true" t="shared" si="3" ref="L16:L43">A16</f>
        <v>0</v>
      </c>
    </row>
    <row r="17" spans="1:12" ht="20.25" customHeight="1">
      <c r="A17" s="247" t="b">
        <v>0</v>
      </c>
      <c r="B17" s="450"/>
      <c r="C17" s="450"/>
      <c r="D17" s="450" t="s">
        <v>189</v>
      </c>
      <c r="E17" s="450"/>
      <c r="F17" s="450"/>
      <c r="G17" s="450"/>
      <c r="H17" s="450"/>
      <c r="I17" s="267">
        <f ca="1" t="shared" si="0"/>
      </c>
      <c r="J17" s="267">
        <f ca="1" t="shared" si="1"/>
      </c>
      <c r="K17" s="267">
        <f ca="1" t="shared" si="2"/>
      </c>
      <c r="L17" s="267" t="b">
        <f t="shared" si="3"/>
        <v>0</v>
      </c>
    </row>
    <row r="18" spans="1:12" ht="20.25" customHeight="1">
      <c r="A18" s="247" t="b">
        <v>0</v>
      </c>
      <c r="B18" s="450"/>
      <c r="C18" s="450"/>
      <c r="D18" s="450" t="s">
        <v>189</v>
      </c>
      <c r="E18" s="450"/>
      <c r="F18" s="450"/>
      <c r="G18" s="450"/>
      <c r="H18" s="450"/>
      <c r="I18" s="267">
        <f ca="1" t="shared" si="0"/>
      </c>
      <c r="J18" s="267">
        <f ca="1" t="shared" si="1"/>
      </c>
      <c r="K18" s="267">
        <f ca="1" t="shared" si="2"/>
      </c>
      <c r="L18" s="267" t="b">
        <f t="shared" si="3"/>
        <v>0</v>
      </c>
    </row>
    <row r="19" spans="1:12" ht="20.25" customHeight="1">
      <c r="A19" s="247" t="b">
        <v>0</v>
      </c>
      <c r="B19" s="450"/>
      <c r="C19" s="450"/>
      <c r="D19" s="450" t="s">
        <v>189</v>
      </c>
      <c r="E19" s="450"/>
      <c r="F19" s="450"/>
      <c r="G19" s="450"/>
      <c r="H19" s="450"/>
      <c r="I19" s="267">
        <f ca="1" t="shared" si="0"/>
      </c>
      <c r="J19" s="267">
        <f ca="1" t="shared" si="1"/>
      </c>
      <c r="K19" s="267">
        <f ca="1" t="shared" si="2"/>
      </c>
      <c r="L19" s="267" t="b">
        <f t="shared" si="3"/>
        <v>0</v>
      </c>
    </row>
    <row r="20" spans="1:12" ht="20.25" customHeight="1">
      <c r="A20" s="247" t="b">
        <v>0</v>
      </c>
      <c r="B20" s="450"/>
      <c r="C20" s="450"/>
      <c r="D20" s="450" t="s">
        <v>189</v>
      </c>
      <c r="E20" s="450"/>
      <c r="F20" s="450"/>
      <c r="G20" s="450"/>
      <c r="H20" s="450"/>
      <c r="I20" s="267">
        <f ca="1" t="shared" si="0"/>
      </c>
      <c r="J20" s="267">
        <f ca="1" t="shared" si="1"/>
      </c>
      <c r="K20" s="267">
        <f ca="1" t="shared" si="2"/>
      </c>
      <c r="L20" s="267" t="b">
        <f t="shared" si="3"/>
        <v>0</v>
      </c>
    </row>
    <row r="21" spans="1:12" ht="20.25" customHeight="1">
      <c r="A21" s="247" t="b">
        <v>0</v>
      </c>
      <c r="B21" s="450"/>
      <c r="C21" s="450"/>
      <c r="D21" s="450" t="s">
        <v>189</v>
      </c>
      <c r="E21" s="450"/>
      <c r="F21" s="450"/>
      <c r="G21" s="450"/>
      <c r="H21" s="450"/>
      <c r="I21" s="267">
        <f ca="1" t="shared" si="0"/>
      </c>
      <c r="J21" s="267">
        <f ca="1" t="shared" si="1"/>
      </c>
      <c r="K21" s="267">
        <f ca="1" t="shared" si="2"/>
      </c>
      <c r="L21" s="267" t="b">
        <f t="shared" si="3"/>
        <v>0</v>
      </c>
    </row>
    <row r="22" spans="1:12" ht="20.25" customHeight="1">
      <c r="A22" s="247" t="b">
        <v>0</v>
      </c>
      <c r="B22" s="450"/>
      <c r="C22" s="450"/>
      <c r="D22" s="450" t="s">
        <v>189</v>
      </c>
      <c r="E22" s="450"/>
      <c r="F22" s="450"/>
      <c r="G22" s="450"/>
      <c r="H22" s="450"/>
      <c r="I22" s="267">
        <f ca="1" t="shared" si="0"/>
      </c>
      <c r="J22" s="267">
        <f ca="1" t="shared" si="1"/>
      </c>
      <c r="K22" s="267">
        <f ca="1" t="shared" si="2"/>
      </c>
      <c r="L22" s="267" t="b">
        <f t="shared" si="3"/>
        <v>0</v>
      </c>
    </row>
    <row r="23" spans="1:12" ht="20.25" customHeight="1">
      <c r="A23" s="247" t="b">
        <v>0</v>
      </c>
      <c r="B23" s="450"/>
      <c r="C23" s="450"/>
      <c r="D23" s="450" t="s">
        <v>189</v>
      </c>
      <c r="E23" s="450"/>
      <c r="F23" s="450"/>
      <c r="G23" s="450"/>
      <c r="H23" s="450"/>
      <c r="I23" s="267">
        <f ca="1" t="shared" si="0"/>
      </c>
      <c r="J23" s="267">
        <f ca="1" t="shared" si="1"/>
      </c>
      <c r="K23" s="267">
        <f ca="1" t="shared" si="2"/>
      </c>
      <c r="L23" s="267" t="b">
        <f t="shared" si="3"/>
        <v>0</v>
      </c>
    </row>
    <row r="24" spans="1:12" ht="20.25" customHeight="1">
      <c r="A24" s="247" t="b">
        <v>0</v>
      </c>
      <c r="B24" s="450"/>
      <c r="C24" s="450"/>
      <c r="D24" s="450" t="s">
        <v>189</v>
      </c>
      <c r="E24" s="450"/>
      <c r="F24" s="450"/>
      <c r="G24" s="450"/>
      <c r="H24" s="450"/>
      <c r="I24" s="267">
        <f ca="1" t="shared" si="0"/>
      </c>
      <c r="J24" s="267">
        <f ca="1" t="shared" si="1"/>
      </c>
      <c r="K24" s="267">
        <f ca="1" t="shared" si="2"/>
      </c>
      <c r="L24" s="267" t="b">
        <f t="shared" si="3"/>
        <v>0</v>
      </c>
    </row>
    <row r="25" spans="1:12" ht="20.25" customHeight="1">
      <c r="A25" s="247" t="b">
        <v>0</v>
      </c>
      <c r="B25" s="450"/>
      <c r="C25" s="450"/>
      <c r="D25" s="450" t="s">
        <v>189</v>
      </c>
      <c r="E25" s="450"/>
      <c r="F25" s="450"/>
      <c r="G25" s="450"/>
      <c r="H25" s="450"/>
      <c r="I25" s="267">
        <f ca="1" t="shared" si="0"/>
      </c>
      <c r="J25" s="267">
        <f ca="1" t="shared" si="1"/>
      </c>
      <c r="K25" s="267">
        <f ca="1" t="shared" si="2"/>
      </c>
      <c r="L25" s="267" t="b">
        <f t="shared" si="3"/>
        <v>0</v>
      </c>
    </row>
    <row r="26" spans="1:12" ht="20.25" customHeight="1">
      <c r="A26" s="247" t="b">
        <v>0</v>
      </c>
      <c r="B26" s="450"/>
      <c r="C26" s="450"/>
      <c r="D26" s="450" t="s">
        <v>189</v>
      </c>
      <c r="E26" s="450"/>
      <c r="F26" s="450"/>
      <c r="G26" s="450"/>
      <c r="H26" s="450"/>
      <c r="I26" s="267">
        <f ca="1" t="shared" si="0"/>
      </c>
      <c r="J26" s="267">
        <f ca="1" t="shared" si="1"/>
      </c>
      <c r="K26" s="267">
        <f ca="1" t="shared" si="2"/>
      </c>
      <c r="L26" s="267" t="b">
        <f t="shared" si="3"/>
        <v>0</v>
      </c>
    </row>
    <row r="27" spans="1:12" ht="20.25" customHeight="1">
      <c r="A27" s="247" t="b">
        <v>0</v>
      </c>
      <c r="B27" s="450"/>
      <c r="C27" s="450"/>
      <c r="D27" s="450" t="s">
        <v>189</v>
      </c>
      <c r="E27" s="450"/>
      <c r="F27" s="450"/>
      <c r="G27" s="450"/>
      <c r="H27" s="450"/>
      <c r="I27" s="267">
        <f ca="1" t="shared" si="0"/>
      </c>
      <c r="J27" s="267">
        <f ca="1" t="shared" si="1"/>
      </c>
      <c r="K27" s="267">
        <f ca="1" t="shared" si="2"/>
      </c>
      <c r="L27" s="267" t="b">
        <f t="shared" si="3"/>
        <v>0</v>
      </c>
    </row>
    <row r="28" spans="1:12" ht="20.25" customHeight="1">
      <c r="A28" s="247" t="b">
        <v>0</v>
      </c>
      <c r="B28" s="450"/>
      <c r="C28" s="450"/>
      <c r="D28" s="450" t="s">
        <v>189</v>
      </c>
      <c r="E28" s="450"/>
      <c r="F28" s="450"/>
      <c r="G28" s="450"/>
      <c r="H28" s="450"/>
      <c r="I28" s="267">
        <f ca="1" t="shared" si="0"/>
      </c>
      <c r="J28" s="267">
        <f ca="1" t="shared" si="1"/>
      </c>
      <c r="K28" s="267">
        <f ca="1" t="shared" si="2"/>
      </c>
      <c r="L28" s="267" t="b">
        <f t="shared" si="3"/>
        <v>0</v>
      </c>
    </row>
    <row r="29" spans="1:12" ht="20.25" customHeight="1">
      <c r="A29" s="247" t="b">
        <v>0</v>
      </c>
      <c r="B29" s="450"/>
      <c r="C29" s="450"/>
      <c r="D29" s="450" t="s">
        <v>189</v>
      </c>
      <c r="E29" s="450"/>
      <c r="F29" s="450"/>
      <c r="G29" s="450"/>
      <c r="H29" s="450"/>
      <c r="I29" s="267">
        <f ca="1" t="shared" si="0"/>
      </c>
      <c r="J29" s="267">
        <f ca="1" t="shared" si="1"/>
      </c>
      <c r="K29" s="267">
        <f ca="1" t="shared" si="2"/>
      </c>
      <c r="L29" s="267" t="b">
        <f t="shared" si="3"/>
        <v>0</v>
      </c>
    </row>
    <row r="30" spans="1:12" ht="20.25" customHeight="1">
      <c r="A30" s="247" t="b">
        <v>0</v>
      </c>
      <c r="B30" s="450"/>
      <c r="C30" s="450"/>
      <c r="D30" s="450" t="s">
        <v>189</v>
      </c>
      <c r="E30" s="450"/>
      <c r="F30" s="450"/>
      <c r="G30" s="450"/>
      <c r="H30" s="450"/>
      <c r="I30" s="267">
        <f ca="1" t="shared" si="0"/>
      </c>
      <c r="J30" s="267">
        <f ca="1" t="shared" si="1"/>
      </c>
      <c r="K30" s="267">
        <f ca="1" t="shared" si="2"/>
      </c>
      <c r="L30" s="267" t="b">
        <f t="shared" si="3"/>
        <v>0</v>
      </c>
    </row>
    <row r="31" spans="1:12" ht="20.25" customHeight="1">
      <c r="A31" s="247" t="b">
        <v>0</v>
      </c>
      <c r="B31" s="450"/>
      <c r="C31" s="450"/>
      <c r="D31" s="450" t="s">
        <v>189</v>
      </c>
      <c r="E31" s="450"/>
      <c r="F31" s="450"/>
      <c r="G31" s="450"/>
      <c r="H31" s="450"/>
      <c r="I31" s="267">
        <f ca="1" t="shared" si="0"/>
      </c>
      <c r="J31" s="267">
        <f ca="1" t="shared" si="1"/>
      </c>
      <c r="K31" s="267">
        <f ca="1" t="shared" si="2"/>
      </c>
      <c r="L31" s="267" t="b">
        <f t="shared" si="3"/>
        <v>0</v>
      </c>
    </row>
    <row r="32" spans="1:12" ht="20.25" customHeight="1">
      <c r="A32" s="247" t="b">
        <v>0</v>
      </c>
      <c r="B32" s="450"/>
      <c r="C32" s="450"/>
      <c r="D32" s="450" t="s">
        <v>189</v>
      </c>
      <c r="E32" s="450"/>
      <c r="F32" s="450"/>
      <c r="G32" s="450"/>
      <c r="H32" s="450"/>
      <c r="I32" s="267">
        <f ca="1" t="shared" si="0"/>
      </c>
      <c r="J32" s="267">
        <f ca="1" t="shared" si="1"/>
      </c>
      <c r="K32" s="267">
        <f ca="1" t="shared" si="2"/>
      </c>
      <c r="L32" s="267" t="b">
        <f t="shared" si="3"/>
        <v>0</v>
      </c>
    </row>
    <row r="33" spans="1:12" ht="19.5" customHeight="1">
      <c r="A33" s="247" t="b">
        <v>0</v>
      </c>
      <c r="B33" s="518"/>
      <c r="C33" s="518"/>
      <c r="D33" s="518" t="s">
        <v>189</v>
      </c>
      <c r="E33" s="518"/>
      <c r="F33" s="518"/>
      <c r="G33" s="518"/>
      <c r="H33" s="518"/>
      <c r="I33" s="519">
        <f ca="1" t="shared" si="0"/>
      </c>
      <c r="J33" s="519">
        <f ca="1" t="shared" si="1"/>
      </c>
      <c r="K33" s="267">
        <f ca="1" t="shared" si="2"/>
      </c>
      <c r="L33" s="267" t="b">
        <f t="shared" si="3"/>
        <v>0</v>
      </c>
    </row>
    <row r="34" spans="1:12" ht="20.25" customHeight="1">
      <c r="A34" s="247" t="b">
        <v>0</v>
      </c>
      <c r="B34" s="450"/>
      <c r="C34" s="450"/>
      <c r="D34" s="450" t="s">
        <v>189</v>
      </c>
      <c r="E34" s="450"/>
      <c r="F34" s="450"/>
      <c r="G34" s="450"/>
      <c r="H34" s="450"/>
      <c r="I34" s="267">
        <f ca="1" t="shared" si="0"/>
      </c>
      <c r="J34" s="267">
        <f ca="1" t="shared" si="1"/>
      </c>
      <c r="K34" s="267">
        <f ca="1" t="shared" si="2"/>
      </c>
      <c r="L34" s="267" t="b">
        <f t="shared" si="3"/>
        <v>0</v>
      </c>
    </row>
    <row r="35" spans="1:12" ht="20.25" customHeight="1">
      <c r="A35" s="247" t="b">
        <v>0</v>
      </c>
      <c r="B35" s="450"/>
      <c r="C35" s="450"/>
      <c r="D35" s="450" t="s">
        <v>189</v>
      </c>
      <c r="E35" s="450"/>
      <c r="F35" s="450"/>
      <c r="G35" s="450"/>
      <c r="H35" s="450"/>
      <c r="I35" s="267">
        <f ca="1" t="shared" si="0"/>
      </c>
      <c r="J35" s="267">
        <f ca="1" t="shared" si="1"/>
      </c>
      <c r="K35" s="267">
        <f ca="1" t="shared" si="2"/>
      </c>
      <c r="L35" s="267" t="b">
        <f t="shared" si="3"/>
        <v>0</v>
      </c>
    </row>
    <row r="36" spans="1:12" ht="20.25" customHeight="1">
      <c r="A36" s="247" t="b">
        <v>0</v>
      </c>
      <c r="B36" s="450"/>
      <c r="C36" s="450"/>
      <c r="D36" s="450" t="s">
        <v>189</v>
      </c>
      <c r="E36" s="450"/>
      <c r="F36" s="450"/>
      <c r="G36" s="450"/>
      <c r="H36" s="450"/>
      <c r="I36" s="267">
        <f ca="1" t="shared" si="0"/>
      </c>
      <c r="J36" s="267">
        <f ca="1" t="shared" si="1"/>
      </c>
      <c r="K36" s="267">
        <f ca="1" t="shared" si="2"/>
      </c>
      <c r="L36" s="267" t="b">
        <f t="shared" si="3"/>
        <v>0</v>
      </c>
    </row>
    <row r="37" spans="1:12" ht="20.25" customHeight="1">
      <c r="A37" s="247" t="b">
        <v>0</v>
      </c>
      <c r="B37" s="450"/>
      <c r="C37" s="450"/>
      <c r="D37" s="450" t="s">
        <v>189</v>
      </c>
      <c r="E37" s="450"/>
      <c r="F37" s="450"/>
      <c r="G37" s="450"/>
      <c r="H37" s="450"/>
      <c r="I37" s="267">
        <f ca="1" t="shared" si="0"/>
      </c>
      <c r="J37" s="267">
        <f ca="1" t="shared" si="1"/>
      </c>
      <c r="K37" s="267">
        <f ca="1" t="shared" si="2"/>
      </c>
      <c r="L37" s="267" t="b">
        <f t="shared" si="3"/>
        <v>0</v>
      </c>
    </row>
    <row r="38" spans="1:12" ht="20.25" customHeight="1">
      <c r="A38" s="247" t="b">
        <v>0</v>
      </c>
      <c r="B38" s="450"/>
      <c r="C38" s="450"/>
      <c r="D38" s="450" t="s">
        <v>189</v>
      </c>
      <c r="E38" s="450"/>
      <c r="F38" s="450"/>
      <c r="G38" s="450"/>
      <c r="H38" s="450"/>
      <c r="I38" s="267">
        <f ca="1" t="shared" si="0"/>
      </c>
      <c r="J38" s="267">
        <f ca="1" t="shared" si="1"/>
      </c>
      <c r="K38" s="267">
        <f ca="1" t="shared" si="2"/>
      </c>
      <c r="L38" s="267" t="b">
        <f t="shared" si="3"/>
        <v>0</v>
      </c>
    </row>
    <row r="39" spans="1:40" ht="20.25" customHeight="1">
      <c r="A39" s="247" t="b">
        <v>0</v>
      </c>
      <c r="B39" s="450"/>
      <c r="C39" s="450"/>
      <c r="D39" s="450" t="s">
        <v>189</v>
      </c>
      <c r="E39" s="450"/>
      <c r="F39" s="450"/>
      <c r="G39" s="450"/>
      <c r="H39" s="450"/>
      <c r="I39" s="539">
        <f ca="1" t="shared" si="0"/>
      </c>
      <c r="J39" s="539">
        <f ca="1" t="shared" si="1"/>
      </c>
      <c r="K39" s="539">
        <f ca="1" t="shared" si="2"/>
      </c>
      <c r="L39" s="539" t="b">
        <f t="shared" si="3"/>
        <v>0</v>
      </c>
      <c r="M39" s="540"/>
      <c r="N39" s="540"/>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row>
    <row r="40" spans="1:40" ht="20.25" customHeight="1">
      <c r="A40" s="247" t="b">
        <v>0</v>
      </c>
      <c r="B40" s="450"/>
      <c r="C40" s="450"/>
      <c r="D40" s="450" t="s">
        <v>189</v>
      </c>
      <c r="E40" s="450"/>
      <c r="F40" s="450"/>
      <c r="G40" s="450"/>
      <c r="H40" s="450"/>
      <c r="I40" s="539">
        <f ca="1" t="shared" si="0"/>
      </c>
      <c r="J40" s="539">
        <f ca="1" t="shared" si="1"/>
      </c>
      <c r="K40" s="539">
        <f ca="1" t="shared" si="2"/>
      </c>
      <c r="L40" s="539" t="b">
        <f t="shared" si="3"/>
        <v>0</v>
      </c>
      <c r="M40" s="540"/>
      <c r="N40" s="540"/>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row>
    <row r="41" spans="1:40" ht="20.25" customHeight="1">
      <c r="A41" s="247" t="b">
        <v>0</v>
      </c>
      <c r="B41" s="450"/>
      <c r="C41" s="450"/>
      <c r="D41" s="450" t="s">
        <v>189</v>
      </c>
      <c r="E41" s="450"/>
      <c r="F41" s="450"/>
      <c r="G41" s="450"/>
      <c r="H41" s="450"/>
      <c r="I41" s="539">
        <f ca="1" t="shared" si="0"/>
      </c>
      <c r="J41" s="539">
        <f ca="1" t="shared" si="1"/>
      </c>
      <c r="K41" s="539">
        <f ca="1" t="shared" si="2"/>
      </c>
      <c r="L41" s="539" t="b">
        <f t="shared" si="3"/>
        <v>0</v>
      </c>
      <c r="M41" s="540"/>
      <c r="N41" s="540"/>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row>
    <row r="42" spans="1:40" ht="20.25" customHeight="1">
      <c r="A42" s="247" t="b">
        <v>0</v>
      </c>
      <c r="B42" s="450"/>
      <c r="C42" s="450"/>
      <c r="D42" s="450" t="s">
        <v>189</v>
      </c>
      <c r="E42" s="450"/>
      <c r="F42" s="450"/>
      <c r="G42" s="450"/>
      <c r="H42" s="450"/>
      <c r="I42" s="539">
        <f ca="1" t="shared" si="0"/>
      </c>
      <c r="J42" s="539">
        <f ca="1" t="shared" si="1"/>
      </c>
      <c r="K42" s="539">
        <f ca="1" t="shared" si="2"/>
      </c>
      <c r="L42" s="539" t="b">
        <f t="shared" si="3"/>
        <v>0</v>
      </c>
      <c r="M42" s="540"/>
      <c r="N42" s="540"/>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row>
    <row r="43" spans="1:40" ht="20.25" customHeight="1">
      <c r="A43" s="247" t="b">
        <v>0</v>
      </c>
      <c r="B43" s="451"/>
      <c r="C43" s="451"/>
      <c r="D43" s="450" t="s">
        <v>189</v>
      </c>
      <c r="E43" s="451"/>
      <c r="F43" s="451"/>
      <c r="G43" s="451"/>
      <c r="H43" s="451"/>
      <c r="I43" s="539">
        <f ca="1" t="shared" si="0"/>
      </c>
      <c r="J43" s="539">
        <f ca="1" t="shared" si="1"/>
      </c>
      <c r="K43" s="539">
        <f ca="1" t="shared" si="2"/>
      </c>
      <c r="L43" s="539" t="b">
        <f t="shared" si="3"/>
        <v>0</v>
      </c>
      <c r="M43" s="540"/>
      <c r="N43" s="540"/>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row>
    <row r="44" spans="1:40" ht="12.75">
      <c r="A44" s="439" t="s">
        <v>996</v>
      </c>
      <c r="I44" s="29"/>
      <c r="J44" s="540"/>
      <c r="K44" s="540"/>
      <c r="L44" s="540"/>
      <c r="M44" s="540"/>
      <c r="N44" s="540"/>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row>
    <row r="45" spans="9:40" ht="12.75">
      <c r="I45" s="29"/>
      <c r="J45" s="540"/>
      <c r="K45" s="540"/>
      <c r="L45" s="540"/>
      <c r="M45" s="540"/>
      <c r="N45" s="540"/>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row>
    <row r="46" spans="1:40" ht="15.75" customHeight="1">
      <c r="A46" s="482" t="s">
        <v>971</v>
      </c>
      <c r="B46" s="29"/>
      <c r="C46" s="29"/>
      <c r="D46" s="29"/>
      <c r="E46" s="29"/>
      <c r="F46" s="29"/>
      <c r="G46" s="29"/>
      <c r="H46" s="535">
        <f>Instructions!$J$45</f>
        <v>45364</v>
      </c>
      <c r="I46" s="29"/>
      <c r="J46" s="29"/>
      <c r="K46" s="29"/>
      <c r="L46" s="29"/>
      <c r="M46" s="29"/>
      <c r="N46" s="29"/>
      <c r="O46" s="29"/>
      <c r="P46" s="29"/>
      <c r="Q46" s="29"/>
      <c r="R46" s="29"/>
      <c r="S46" s="29"/>
      <c r="T46" s="29"/>
      <c r="U46" s="29"/>
      <c r="V46" s="29"/>
      <c r="W46" s="481"/>
      <c r="X46" s="29"/>
      <c r="Y46" s="29"/>
      <c r="Z46" s="29"/>
      <c r="AA46" s="29"/>
      <c r="AB46" s="29"/>
      <c r="AC46" s="29"/>
      <c r="AD46" s="29"/>
      <c r="AE46" s="1020"/>
      <c r="AF46" s="1020"/>
      <c r="AG46" s="29"/>
      <c r="AH46" s="29"/>
      <c r="AI46" s="29"/>
      <c r="AJ46" s="29"/>
      <c r="AK46" s="29"/>
      <c r="AL46" s="29"/>
      <c r="AM46" s="29"/>
      <c r="AN46" s="29"/>
    </row>
    <row r="47" spans="1:40" ht="6" customHeight="1">
      <c r="A47" s="538"/>
      <c r="B47" s="538"/>
      <c r="C47" s="538"/>
      <c r="D47" s="538"/>
      <c r="E47" s="538"/>
      <c r="F47" s="538"/>
      <c r="G47" s="538"/>
      <c r="H47" s="538"/>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29"/>
      <c r="AH47" s="29"/>
      <c r="AI47" s="29"/>
      <c r="AJ47" s="29"/>
      <c r="AK47" s="29"/>
      <c r="AL47" s="29"/>
      <c r="AM47" s="29"/>
      <c r="AN47" s="29"/>
    </row>
    <row r="48" spans="9:40" ht="12.75">
      <c r="I48" s="29"/>
      <c r="J48" s="540"/>
      <c r="K48" s="540"/>
      <c r="L48" s="540"/>
      <c r="M48" s="540"/>
      <c r="N48" s="540"/>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row>
    <row r="49" spans="9:40" ht="12.75">
      <c r="I49" s="29"/>
      <c r="J49" s="540"/>
      <c r="K49" s="540"/>
      <c r="L49" s="540"/>
      <c r="M49" s="540"/>
      <c r="N49" s="540"/>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row>
    <row r="50" spans="9:40" ht="12.75">
      <c r="I50" s="29"/>
      <c r="J50" s="540"/>
      <c r="K50" s="540"/>
      <c r="L50" s="540"/>
      <c r="M50" s="540"/>
      <c r="N50" s="540"/>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row>
    <row r="51" spans="9:40" ht="12.75">
      <c r="I51" s="29"/>
      <c r="J51" s="540"/>
      <c r="K51" s="540"/>
      <c r="L51" s="540"/>
      <c r="M51" s="540"/>
      <c r="N51" s="540"/>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row>
    <row r="52" spans="9:40" ht="12.75">
      <c r="I52" s="29"/>
      <c r="J52" s="540"/>
      <c r="K52" s="540"/>
      <c r="L52" s="540"/>
      <c r="M52" s="540"/>
      <c r="N52" s="540"/>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row>
    <row r="53" spans="9:40" ht="12.75">
      <c r="I53" s="29"/>
      <c r="J53" s="540"/>
      <c r="K53" s="540"/>
      <c r="L53" s="540"/>
      <c r="M53" s="540"/>
      <c r="N53" s="540"/>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row>
  </sheetData>
  <sheetProtection password="E71A" sheet="1" objects="1" scenarios="1"/>
  <mergeCells count="5">
    <mergeCell ref="D11:E11"/>
    <mergeCell ref="D10:E10"/>
    <mergeCell ref="D9:E9"/>
    <mergeCell ref="G9:H9"/>
    <mergeCell ref="AE46:AF46"/>
  </mergeCells>
  <conditionalFormatting sqref="D15:D43">
    <cfRule type="cellIs" priority="1" dxfId="0" operator="equal" stopIfTrue="1">
      <formula>"Choisir…"</formula>
    </cfRule>
  </conditionalFormatting>
  <dataValidations count="1">
    <dataValidation type="list" allowBlank="1" showInputMessage="1" showErrorMessage="1" sqref="D15:D43">
      <formula1>Type_Entreprise</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54" r:id="rId3"/>
  <headerFooter>
    <oddFooter>&amp;L&amp;"Arial Narrow,Gras"&amp;8Ministère de l’Environnement, de la Lutte contre les changements climatiques, de la Faune et des Parcs&amp;R&amp;"Arial Narrow,Normal"&amp;8 2023-05-25</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Feuil15"/>
  <dimension ref="A1:A1"/>
  <sheetViews>
    <sheetView zoomScalePageLayoutView="0" workbookViewId="0" topLeftCell="A1">
      <selection activeCell="H28" sqref="H28"/>
    </sheetView>
  </sheetViews>
  <sheetFormatPr defaultColWidth="11.421875" defaultRowHeight="12.75"/>
  <sheetData/>
  <sheetProtection password="E71A"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ÉcoPerformance</dc:title>
  <dc:subject>Formulaire à remplir dans le cadre d’une demande d'aide financière au programme Écoperformance.</dc:subject>
  <dc:creator>Ministère de l’Environnement, de la Lutte contre les changements climatiques, de la Faune et des Parcs; MELCCFP</dc:creator>
  <cp:keywords>programme ÉcoPerformance, aide financière; formulaire</cp:keywords>
  <dc:description/>
  <cp:lastModifiedBy>Galerneau, Sophie</cp:lastModifiedBy>
  <cp:lastPrinted>2023-06-09T17:14:03Z</cp:lastPrinted>
  <dcterms:created xsi:type="dcterms:W3CDTF">2007-11-05T15:37:51Z</dcterms:created>
  <dcterms:modified xsi:type="dcterms:W3CDTF">2024-03-21T20:37:01Z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État de validation">
    <vt:lpwstr/>
  </property>
</Properties>
</file>