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5550" activeTab="0"/>
  </bookViews>
  <sheets>
    <sheet name="Instructions" sheetId="1" r:id="rId1"/>
    <sheet name="Demande" sheetId="2" r:id="rId2"/>
    <sheet name="Rapport détaillé des coûts" sheetId="3" r:id="rId3"/>
    <sheet name="1. Demande" sheetId="4" state="hidden" r:id="rId4"/>
    <sheet name="2. Plan d'implantation" sheetId="5" state="hidden" r:id="rId5"/>
    <sheet name="3.1 Rapport détaillé des coûts" sheetId="6" state="hidden" r:id="rId6"/>
    <sheet name="Extract" sheetId="7" state="hidden" r:id="rId7"/>
    <sheet name="Data" sheetId="8" state="hidden" r:id="rId8"/>
    <sheet name="Données" sheetId="9" state="hidden" r:id="rId9"/>
  </sheets>
  <externalReferences>
    <externalReference r:id="rId12"/>
  </externalReferences>
  <definedNames>
    <definedName name="_xlfn.IFERROR" hidden="1">#NAME?</definedName>
    <definedName name="_xlfn.SINGLE" hidden="1">#NAME?</definedName>
    <definedName name="_xlfn.XLOOKUP" hidden="1">#NAME?</definedName>
    <definedName name="Action" localSheetId="5">'[1]Data'!$M$6:$M$11</definedName>
    <definedName name="Action">'Data'!$A$119:$A$124</definedName>
    <definedName name="Aide_dem" localSheetId="5">'[1]Data'!$A$26:$A$27</definedName>
    <definedName name="Aide_dem">'Data'!$A$132:$A$133</definedName>
    <definedName name="Aide_Fin_3a">#REF!</definedName>
    <definedName name="Aide_fin_3b">#REF!</definedName>
    <definedName name="Aide_fin_3c">#REF!</definedName>
    <definedName name="Aide_fin_3d">#REF!</definedName>
    <definedName name="Aide_fin_3e">#REF!</definedName>
    <definedName name="Aide_max">'Data'!$C$58:$C$59</definedName>
    <definedName name="Appel" localSheetId="5">'[1]Data'!$B$7:$B$9</definedName>
    <definedName name="Appel">'Data'!$B$7:$B$9</definedName>
    <definedName name="Appels">'Données'!$A$2:$A$4</definedName>
    <definedName name="Consomref">'Data'!$A$29:$K$35</definedName>
    <definedName name="Conversion">'Data'!$A$101:$A$104</definedName>
    <definedName name="Dep_3a">#REF!</definedName>
    <definedName name="Dep_3b">#REF!</definedName>
    <definedName name="Dep_3c">#REF!</definedName>
    <definedName name="Dep_3d">#REF!</definedName>
    <definedName name="Dep_3e">#REF!</definedName>
    <definedName name="Deploiement">#REF!</definedName>
    <definedName name="Distributeurs">'Données'!$J$2:$J$13</definedName>
    <definedName name="Énergie" localSheetId="5">'[1]Data'!$B$75:$B$116</definedName>
    <definedName name="Énergie">'Données'!$N$2:$N$44</definedName>
    <definedName name="Énergie_réduit">'Data'!$A$12:$A$17</definedName>
    <definedName name="Énergie_réduit_bis">'Data'!$C$12:$C$17</definedName>
    <definedName name="Énergie_réduit_ter">'Data'!$C$11:$C$17</definedName>
    <definedName name="Energie_SEQ">'Données'!$M$1:$AJ$44</definedName>
    <definedName name="Énergie_Unité">'Données'!$C$2:$D$45</definedName>
    <definedName name="Énergies">'Données'!$C$2:$C$45</definedName>
    <definedName name="Exportation">'Data'!$A$1:$FZ$2</definedName>
    <definedName name="Fin_Autre" localSheetId="5">'[1]Data'!$B$29:$B$45</definedName>
    <definedName name="Fin_autre">'Data'!$B$62:$B$98</definedName>
    <definedName name="Fin_autre2">'Data'!$B$62:$D$98</definedName>
    <definedName name="Implantation">'2. Plan d''implantation'!$A$15:$AR$49</definedName>
    <definedName name="Montage_Fin">'Data'!$A$38:$G$45</definedName>
    <definedName name="Nature_Sub">'Données'!$F$2:$F$6</definedName>
    <definedName name="Ordre">'[1]Data'!$D$6:$D$9</definedName>
    <definedName name="OuiNon">'Data'!$A$127:$A$129</definedName>
    <definedName name="PourcentAide">'Data'!$D$58:$D$59</definedName>
    <definedName name="PRP" localSheetId="5">'[1]Data'!$AA$75:$AA$187</definedName>
    <definedName name="PRP">'Données'!$AM$2:$AM$111</definedName>
    <definedName name="Recom" localSheetId="5">'[1]Data'!$K$6:$K$9</definedName>
    <definedName name="Recom">'Data'!$A$113:$A$116</definedName>
    <definedName name="Régions">'Données'!$B$2:$B$19</definedName>
    <definedName name="Rendement">'Data'!$A$136:$A$141</definedName>
    <definedName name="Rep_Dep">'Data'!$A$48:$H$54</definedName>
    <definedName name="Secteur">'Données'!$G$2:$G$23</definedName>
    <definedName name="Subventions">'Data'!$B$63:$B$98</definedName>
    <definedName name="Triphasé">'Data'!$A$57:$A$59</definedName>
    <definedName name="Type_Aide">'[1]Data'!$G$16:$G$20</definedName>
    <definedName name="Type_emission" localSheetId="5">'[1]Data'!$I$6:$I$9</definedName>
    <definedName name="Type_emission">'Data'!$A$107:$A$110</definedName>
    <definedName name="Type_Entreprise" localSheetId="5">'[1]Data'!$V$5:$V$23</definedName>
    <definedName name="Type_Entreprise">'Data'!$V$5:$V$26</definedName>
    <definedName name="Type_sys">'[1]Data'!$P$6:$P$7</definedName>
    <definedName name="Unite">'[1]Data'!$B$47:$B$49</definedName>
    <definedName name="Unite_Surface" localSheetId="5">'[1]Data'!$E$48:$E$49</definedName>
    <definedName name="Unite_Surface">'Data'!$E$53:$E$54</definedName>
    <definedName name="Volet" localSheetId="5">'[1]Data'!$F$6:$F$11</definedName>
    <definedName name="Volet">'Data'!$A$20:$A$26</definedName>
    <definedName name="_xlnm.Print_Area" localSheetId="4">'2. Plan d''implantation'!$A$1:$AF$65</definedName>
    <definedName name="_xlnm.Print_Area" localSheetId="5">'3.1 Rapport détaillé des coûts'!$A$1:$S$83</definedName>
    <definedName name="_xlnm.Print_Area" localSheetId="1">'Demande'!$B$1:$S$118</definedName>
    <definedName name="_xlnm.Print_Area" localSheetId="0">'Instructions'!$B$1:$J$44</definedName>
    <definedName name="_xlnm.Print_Area" localSheetId="2">'Rapport détaillé des coûts'!$B$1:$N$48</definedName>
  </definedNames>
  <calcPr fullCalcOnLoad="1"/>
</workbook>
</file>

<file path=xl/comments2.xml><?xml version="1.0" encoding="utf-8"?>
<comments xmlns="http://schemas.openxmlformats.org/spreadsheetml/2006/main">
  <authors>
    <author>Rainville, Josiane (SITE)</author>
  </authors>
  <commentList>
    <comment ref="H77" authorId="0">
      <text>
        <r>
          <rPr>
            <sz val="10"/>
            <rFont val="Arial"/>
            <family val="2"/>
          </rPr>
          <t>Il se peut que votre projet soit tout à fait nouveau et qu’aucun combustible ne soit à remplacer. Dans le cas où vous avez besoin de plus de puissance, vous pouvez sélectionner Électricité et inscrire dans la quantité à remplacer la moyenne de consommation annuelle. Dans le cas où vous avez plusieurs combustibles, vous pouvez inscrire une moyenne pour une année pour le combustible que vous utilisez le plus.</t>
        </r>
      </text>
    </comment>
  </commentList>
</comments>
</file>

<file path=xl/sharedStrings.xml><?xml version="1.0" encoding="utf-8"?>
<sst xmlns="http://schemas.openxmlformats.org/spreadsheetml/2006/main" count="2396" uniqueCount="1140">
  <si>
    <t>A-Requérant</t>
  </si>
  <si>
    <t>13-1943-00</t>
  </si>
  <si>
    <t>Adresse</t>
  </si>
  <si>
    <t>Municipalité</t>
  </si>
  <si>
    <t xml:space="preserve">  Code postal</t>
  </si>
  <si>
    <t>Description sommaire du requérant</t>
  </si>
  <si>
    <t>B-Signataire autorisé</t>
  </si>
  <si>
    <t>Appel</t>
  </si>
  <si>
    <t>Choisir…</t>
  </si>
  <si>
    <t>Nom</t>
  </si>
  <si>
    <t xml:space="preserve"> Prénom</t>
  </si>
  <si>
    <t>Fonction</t>
  </si>
  <si>
    <t xml:space="preserve"> Courriel</t>
  </si>
  <si>
    <t>Entreprise</t>
  </si>
  <si>
    <t>Poste</t>
  </si>
  <si>
    <t>Téléphone</t>
  </si>
  <si>
    <t>C-Rep. administratif</t>
  </si>
  <si>
    <t>Correspondant principal avec le MERN</t>
  </si>
  <si>
    <t>Cellulaire</t>
  </si>
  <si>
    <t xml:space="preserve"> </t>
  </si>
  <si>
    <t>Type de dépenses</t>
  </si>
  <si>
    <t>Code</t>
  </si>
  <si>
    <t>Énergie</t>
  </si>
  <si>
    <t>Unité</t>
  </si>
  <si>
    <t>Consommation actuelle</t>
  </si>
  <si>
    <t>Consommation prévue</t>
  </si>
  <si>
    <t>Diesel</t>
  </si>
  <si>
    <t xml:space="preserve">Total des coûts </t>
  </si>
  <si>
    <t>Partenaires</t>
  </si>
  <si>
    <t>(précisez si nécessaire)</t>
  </si>
  <si>
    <t>Nature de la contribution</t>
  </si>
  <si>
    <t>Contribution ($)</t>
  </si>
  <si>
    <t>Contribution (%)</t>
  </si>
  <si>
    <t>Subvention</t>
  </si>
  <si>
    <t xml:space="preserve">Total des contributions  </t>
  </si>
  <si>
    <t>Date</t>
  </si>
  <si>
    <t>L</t>
  </si>
  <si>
    <t/>
  </si>
  <si>
    <t>A. Acquisition équipement/matériel</t>
  </si>
  <si>
    <t>Madame</t>
  </si>
  <si>
    <t>Monsieur</t>
  </si>
  <si>
    <t>Régions</t>
  </si>
  <si>
    <t>Abitibi-Témiscamingue</t>
  </si>
  <si>
    <t>Bas-Saint-Laurent</t>
  </si>
  <si>
    <t>Capitale-Nationale</t>
  </si>
  <si>
    <t>Centre-du-Québec</t>
  </si>
  <si>
    <t>Chaudière-Appalaches</t>
  </si>
  <si>
    <t>Côte-Nord</t>
  </si>
  <si>
    <t>Estrie</t>
  </si>
  <si>
    <t>Gaspésie–Îles-de-la-Madeleine</t>
  </si>
  <si>
    <t>Lanaudière</t>
  </si>
  <si>
    <t>Laurentides</t>
  </si>
  <si>
    <t>Laval</t>
  </si>
  <si>
    <t>Mauricie</t>
  </si>
  <si>
    <t>Montérégie</t>
  </si>
  <si>
    <t>Montréal</t>
  </si>
  <si>
    <t>Nord-du-Québec</t>
  </si>
  <si>
    <t>Outaouais</t>
  </si>
  <si>
    <t>Saguenay–Lac-Saint-Jean</t>
  </si>
  <si>
    <t>&lt;</t>
  </si>
  <si>
    <t>Secteur</t>
  </si>
  <si>
    <t>Électricité</t>
  </si>
  <si>
    <t>Gaz naturel</t>
  </si>
  <si>
    <t>Mazout léger no 2</t>
  </si>
  <si>
    <t>Mazout lourd (nos 4, 5 et 6)</t>
  </si>
  <si>
    <t>Propane</t>
  </si>
  <si>
    <t>Essence (automobile)</t>
  </si>
  <si>
    <t>Essence (aviation)</t>
  </si>
  <si>
    <t>Carburéacteur</t>
  </si>
  <si>
    <t>Kérosène</t>
  </si>
  <si>
    <t>Bitume</t>
  </si>
  <si>
    <t>Gaz de distillation (du raffinage)</t>
  </si>
  <si>
    <t>Lignite</t>
  </si>
  <si>
    <t>Butane</t>
  </si>
  <si>
    <t>Éthane</t>
  </si>
  <si>
    <t>Coke de charbon</t>
  </si>
  <si>
    <t>Coke de pétrole (raffinage)</t>
  </si>
  <si>
    <t>Charbon de bois</t>
  </si>
  <si>
    <t>Liqueur usée de cuisson base sèche</t>
  </si>
  <si>
    <t>Bi-énergie chauffage électrique</t>
  </si>
  <si>
    <t>Autre</t>
  </si>
  <si>
    <t>Vapeur</t>
  </si>
  <si>
    <t>Biomasse résiduelle</t>
  </si>
  <si>
    <t>Écorces</t>
  </si>
  <si>
    <t>Gaz de distillation (de valorisation)</t>
  </si>
  <si>
    <t>CRD</t>
  </si>
  <si>
    <t>Lubrifiants (huiles usées)</t>
  </si>
  <si>
    <t>Mazout léger no 1</t>
  </si>
  <si>
    <t>Coke de pétrole (de valorisation)</t>
  </si>
  <si>
    <t>Éthanol (100%)</t>
  </si>
  <si>
    <t>Biodiésel</t>
  </si>
  <si>
    <t>Gras animal fondu</t>
  </si>
  <si>
    <t>Huile végétale</t>
  </si>
  <si>
    <t>Charbon bitumineux étranger</t>
  </si>
  <si>
    <t>Tourbe</t>
  </si>
  <si>
    <t>Pneus</t>
  </si>
  <si>
    <t>Sous-produits agricoles (qui ne sont pas destinés à la consommation)</t>
  </si>
  <si>
    <t>Sous-produits de la biomasse (résidus animaux et végétaux, excluant les résidus de bois et la liqueur de cuisson)</t>
  </si>
  <si>
    <t>Gaz de cokerie</t>
  </si>
  <si>
    <t>Biogaz (portion méthane)</t>
  </si>
  <si>
    <t>Gaz d'enfouissement (portion méthane)</t>
  </si>
  <si>
    <t>Biocharbon</t>
  </si>
  <si>
    <t>Énergies</t>
  </si>
  <si>
    <t>kWh</t>
  </si>
  <si>
    <t>m³</t>
  </si>
  <si>
    <t>kg</t>
  </si>
  <si>
    <t>GJ</t>
  </si>
  <si>
    <t>Lbs</t>
  </si>
  <si>
    <t>Sans objet</t>
  </si>
  <si>
    <t>Énergie_Unité</t>
  </si>
  <si>
    <t>Hydro-Québec</t>
  </si>
  <si>
    <t>Investissement Québec</t>
  </si>
  <si>
    <t>Banque/Caisse</t>
  </si>
  <si>
    <t>TDDC</t>
  </si>
  <si>
    <t>BDC</t>
  </si>
  <si>
    <t>MAPAQ</t>
  </si>
  <si>
    <t>MSSS</t>
  </si>
  <si>
    <t>MTQ</t>
  </si>
  <si>
    <t>Emprunt</t>
  </si>
  <si>
    <t>Prêt</t>
  </si>
  <si>
    <t>Équité</t>
  </si>
  <si>
    <t>Nature_Sub</t>
  </si>
  <si>
    <t>les renseignements contenus dans ce formulaire sont exacts.</t>
  </si>
  <si>
    <t>I-Données financières</t>
  </si>
  <si>
    <t>J-Signature</t>
  </si>
  <si>
    <t>Acéricole</t>
  </si>
  <si>
    <t>Gazonnière</t>
  </si>
  <si>
    <t>Avicole</t>
  </si>
  <si>
    <t>Pommes de terre</t>
  </si>
  <si>
    <t>Cannabis</t>
  </si>
  <si>
    <t>Matières résiduelles collectées par une municipalité</t>
  </si>
  <si>
    <t>Énergir</t>
  </si>
  <si>
    <t>Fédéral</t>
  </si>
  <si>
    <t>Raison sociale</t>
  </si>
  <si>
    <t>MERN-Transition énergétique</t>
  </si>
  <si>
    <t>CLD</t>
  </si>
  <si>
    <t>MEES</t>
  </si>
  <si>
    <t>MFQ</t>
  </si>
  <si>
    <t>MEI</t>
  </si>
  <si>
    <t>Financière agricole du Québec (FADQ)</t>
  </si>
  <si>
    <t>Financière agricole Canada (FAC)</t>
  </si>
  <si>
    <t>Réseaux Agriconseils</t>
  </si>
  <si>
    <t>Fonds coopératif d'aide à la reléve agricole (FCARA)</t>
  </si>
  <si>
    <t xml:space="preserve">Autres </t>
  </si>
  <si>
    <t>Société d'aide au développement de la collectivité (SADC)</t>
  </si>
  <si>
    <t>Région</t>
  </si>
  <si>
    <t>Secteur d'activité</t>
  </si>
  <si>
    <t>Prod. Annuelle</t>
  </si>
  <si>
    <t>Coûts de projet</t>
  </si>
  <si>
    <t>Montage financier</t>
  </si>
  <si>
    <t>Signataire autorisé</t>
  </si>
  <si>
    <t>Aquaculture</t>
  </si>
  <si>
    <t>Autres cultures</t>
  </si>
  <si>
    <t>Autres élevages</t>
  </si>
  <si>
    <t>Bovin de boucherie</t>
  </si>
  <si>
    <t>Bovin laitier</t>
  </si>
  <si>
    <t>Culture en serre</t>
  </si>
  <si>
    <t>Fourrages</t>
  </si>
  <si>
    <t>Grandes cultures (Céréales, oléagineux, légumineuses et autres grains)</t>
  </si>
  <si>
    <t>Légumes plein champ</t>
  </si>
  <si>
    <t>Ovins</t>
  </si>
  <si>
    <t>Pépinière</t>
  </si>
  <si>
    <t>Petits fruits</t>
  </si>
  <si>
    <t>Pommes</t>
  </si>
  <si>
    <t>Porcs</t>
  </si>
  <si>
    <t>Transformateur alimentaire</t>
  </si>
  <si>
    <t>Vignes</t>
  </si>
  <si>
    <t>Hydro-Québec Distribution</t>
  </si>
  <si>
    <t>Distributeur</t>
  </si>
  <si>
    <t>Alma</t>
  </si>
  <si>
    <t>Amos</t>
  </si>
  <si>
    <t>Baie-Comeau</t>
  </si>
  <si>
    <t>Coaticook</t>
  </si>
  <si>
    <t>Joliette</t>
  </si>
  <si>
    <t>Magog</t>
  </si>
  <si>
    <t>Saguenay</t>
  </si>
  <si>
    <t>Sherbrooke</t>
  </si>
  <si>
    <t>Westmount</t>
  </si>
  <si>
    <t>Coop. St-Jean-Baptiste</t>
  </si>
  <si>
    <t>Distributeurs</t>
  </si>
  <si>
    <t>NEQ</t>
  </si>
  <si>
    <t>D-Électriciens</t>
  </si>
  <si>
    <t>Nbr d'employés</t>
  </si>
  <si>
    <t>Numéro de la demande du distributeur</t>
  </si>
  <si>
    <t>Information du distributeur</t>
  </si>
  <si>
    <t>Mise en service</t>
  </si>
  <si>
    <t>Nouvel équipement</t>
  </si>
  <si>
    <t>Oui</t>
  </si>
  <si>
    <t>Non</t>
  </si>
  <si>
    <t>***Veuillez joindre, lors de l’envoi de votre demande, le formulaire en version PDF ainsi que la version Excel.</t>
  </si>
  <si>
    <t>*Le signataire déclare qu'il est dûment autorisé à prendre des engagements au nom du requérant, qu'il a pris connaissance des exigences et conditions du programme pour lequel il demande une aide financière et qu'il reconnaît que</t>
  </si>
  <si>
    <t>**Avant de soumettre votre demande, assurez-vous que le formulaire soit daté et signé et que toutes les sections soient bien dûment remplies.</t>
  </si>
  <si>
    <t>****En appliquant au programme le participant consent au transfert de données à des tiers pour les fins exclusives de l’analyse de son dossier.</t>
  </si>
  <si>
    <t>Serre</t>
  </si>
  <si>
    <t>111994</t>
  </si>
  <si>
    <t>1125</t>
  </si>
  <si>
    <t>1119</t>
  </si>
  <si>
    <t>1129</t>
  </si>
  <si>
    <t>1123</t>
  </si>
  <si>
    <t>11211</t>
  </si>
  <si>
    <t>11212</t>
  </si>
  <si>
    <t>111412</t>
  </si>
  <si>
    <t>11141</t>
  </si>
  <si>
    <t>11940</t>
  </si>
  <si>
    <t>111421</t>
  </si>
  <si>
    <t>1111</t>
  </si>
  <si>
    <t>1112</t>
  </si>
  <si>
    <t>11231</t>
  </si>
  <si>
    <t>11142</t>
  </si>
  <si>
    <t>11133</t>
  </si>
  <si>
    <t>111219</t>
  </si>
  <si>
    <t>111211</t>
  </si>
  <si>
    <t>1122</t>
  </si>
  <si>
    <t>311</t>
  </si>
  <si>
    <t>115110</t>
  </si>
  <si>
    <t>Version</t>
  </si>
  <si>
    <t>Inno</t>
  </si>
  <si>
    <t>Analyse</t>
  </si>
  <si>
    <t>Implantation</t>
  </si>
  <si>
    <t>Conversion</t>
  </si>
  <si>
    <t>Gestion</t>
  </si>
  <si>
    <t>Connaissance</t>
  </si>
  <si>
    <t>OPTER</t>
  </si>
  <si>
    <t>InnoC</t>
  </si>
  <si>
    <t>AnalyseC</t>
  </si>
  <si>
    <t>ImplantationC</t>
  </si>
  <si>
    <t>ConversionC</t>
  </si>
  <si>
    <t>GestionC</t>
  </si>
  <si>
    <t>ConnaissanceC</t>
  </si>
  <si>
    <t>OPTERC</t>
  </si>
  <si>
    <t>Anal_Etu</t>
  </si>
  <si>
    <t>Anal_IP</t>
  </si>
  <si>
    <t>Anal_IP_Prelim</t>
  </si>
  <si>
    <t>Anal_Approv</t>
  </si>
  <si>
    <t>Conv_Bio</t>
  </si>
  <si>
    <t>Conv_Sol</t>
  </si>
  <si>
    <t>Conv_ER</t>
  </si>
  <si>
    <t>Conv_Conv</t>
  </si>
  <si>
    <t>Gestion_Agri</t>
  </si>
  <si>
    <t>Gestion_Ind</t>
  </si>
  <si>
    <t>DEV_Conduite</t>
  </si>
  <si>
    <t>DEV_Agri</t>
  </si>
  <si>
    <t>DEV_Ind</t>
  </si>
  <si>
    <t>OPTER_Arena</t>
  </si>
  <si>
    <t>OPTER_Super</t>
  </si>
  <si>
    <t>OPTER_Agro</t>
  </si>
  <si>
    <t>Code_Req</t>
  </si>
  <si>
    <t>ORGreq</t>
  </si>
  <si>
    <t>ORGAdr</t>
  </si>
  <si>
    <t>ORGVil</t>
  </si>
  <si>
    <t>ORGCP</t>
  </si>
  <si>
    <t>ORGStatLeg</t>
  </si>
  <si>
    <t>ORGNEQ</t>
  </si>
  <si>
    <t>ORGNbreEmplois</t>
  </si>
  <si>
    <t>ORGRDrec</t>
  </si>
  <si>
    <t>Code_Sign</t>
  </si>
  <si>
    <t>SignAppel</t>
  </si>
  <si>
    <t>SignNom</t>
  </si>
  <si>
    <t>SignPrenom</t>
  </si>
  <si>
    <t>SignSuffixe</t>
  </si>
  <si>
    <t>SignFonc</t>
  </si>
  <si>
    <t>SignEMail</t>
  </si>
  <si>
    <t>SignEnt</t>
  </si>
  <si>
    <t>SignAdr</t>
  </si>
  <si>
    <t>SignVil</t>
  </si>
  <si>
    <t>SignCP</t>
  </si>
  <si>
    <t>SignNEQ</t>
  </si>
  <si>
    <t>SignPhone</t>
  </si>
  <si>
    <t>SignPoste</t>
  </si>
  <si>
    <t>SignCell</t>
  </si>
  <si>
    <t>Signcc</t>
  </si>
  <si>
    <t>Signcorprinc</t>
  </si>
  <si>
    <t>Code_Repadm</t>
  </si>
  <si>
    <t>RepAdmAppel</t>
  </si>
  <si>
    <t>RepAdmNom</t>
  </si>
  <si>
    <t>RepAdmPrenom</t>
  </si>
  <si>
    <t>RepAdmSuffixe</t>
  </si>
  <si>
    <t>RepAdmFonc</t>
  </si>
  <si>
    <t>RepAdmEMail</t>
  </si>
  <si>
    <t>RepAdmEnt</t>
  </si>
  <si>
    <t>RepAdmAdr</t>
  </si>
  <si>
    <t>RepAdmVil</t>
  </si>
  <si>
    <t>RepAdmCP</t>
  </si>
  <si>
    <t>RepAdmNEQ</t>
  </si>
  <si>
    <t>RepAdmPhone</t>
  </si>
  <si>
    <t>RepAdmPoste</t>
  </si>
  <si>
    <t>RepAdmCell</t>
  </si>
  <si>
    <t>RepAdmcc</t>
  </si>
  <si>
    <t>RepAdmcorprinc</t>
  </si>
  <si>
    <t>Code_RepTech</t>
  </si>
  <si>
    <t>RepTechAppel</t>
  </si>
  <si>
    <t>RepTechNom</t>
  </si>
  <si>
    <t>RepTechPrenom</t>
  </si>
  <si>
    <t>RepTechSuffixe</t>
  </si>
  <si>
    <t>RepTechFonc</t>
  </si>
  <si>
    <t>RepTechEMail</t>
  </si>
  <si>
    <t>RepTechEnt</t>
  </si>
  <si>
    <t>RepTechAdr</t>
  </si>
  <si>
    <t>RepTechVil</t>
  </si>
  <si>
    <t>RepTechCP</t>
  </si>
  <si>
    <t>RepTechNEQ</t>
  </si>
  <si>
    <t>RepTechPhone</t>
  </si>
  <si>
    <t>RepTechPoste</t>
  </si>
  <si>
    <t>RepTechCell</t>
  </si>
  <si>
    <t>RepTechOrdre</t>
  </si>
  <si>
    <t>RepTechNoMbre</t>
  </si>
  <si>
    <t>RepTechcc</t>
  </si>
  <si>
    <t>RepTechcorprinc</t>
  </si>
  <si>
    <t>Code_Consultant</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</si>
  <si>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</si>
  <si>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</si>
  <si>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</si>
  <si>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</si>
  <si>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</si>
  <si>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</si>
  <si>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</si>
  <si>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</si>
  <si>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</si>
  <si>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</si>
  <si>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</si>
  <si>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</si>
  <si>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</si>
  <si>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</si>
  <si>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</si>
  <si>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</si>
  <si>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</si>
  <si>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Consultcorprinc</t>
  </si>
  <si>
    <t>SitePrinc</t>
  </si>
  <si>
    <t>SiteAdr</t>
  </si>
  <si>
    <t>SiteVil</t>
  </si>
  <si>
    <t>SiteCP</t>
  </si>
  <si>
    <t>SiteNEQ</t>
  </si>
  <si>
    <t>SiteSCIAN</t>
  </si>
  <si>
    <t>SiteTypeENT</t>
  </si>
  <si>
    <t>No_Projet_Sagir_Abrev</t>
  </si>
  <si>
    <t>Volet</t>
  </si>
  <si>
    <t>Section</t>
  </si>
  <si>
    <t>Composante</t>
  </si>
  <si>
    <t>SiteGJNel</t>
  </si>
  <si>
    <t>SIte36TJ</t>
  </si>
  <si>
    <t>Site36TJCode</t>
  </si>
  <si>
    <t>NouveauExistant</t>
  </si>
  <si>
    <t>DJChauffe</t>
  </si>
  <si>
    <t>Superficie</t>
  </si>
  <si>
    <t>UnitSuperficie</t>
  </si>
  <si>
    <t>Production</t>
  </si>
  <si>
    <t>UnitProd</t>
  </si>
  <si>
    <t>ConsDateDeb</t>
  </si>
  <si>
    <t>ConsDateFin</t>
  </si>
  <si>
    <t>TitreProj</t>
  </si>
  <si>
    <t>DateDebProj</t>
  </si>
  <si>
    <t>DateFinProj</t>
  </si>
  <si>
    <t>DateMER</t>
  </si>
  <si>
    <t>ProjStratTrans</t>
  </si>
  <si>
    <t>Engagement</t>
  </si>
  <si>
    <t>Residentiel</t>
  </si>
  <si>
    <t>Commercial</t>
  </si>
  <si>
    <t>Institutionnel</t>
  </si>
  <si>
    <t>Municipal</t>
  </si>
  <si>
    <t>Transport</t>
  </si>
  <si>
    <t>Industriel</t>
  </si>
  <si>
    <t>Agricole</t>
  </si>
  <si>
    <t>DomaineAutre</t>
  </si>
  <si>
    <t>ProdER</t>
  </si>
  <si>
    <t>Bioénergie</t>
  </si>
  <si>
    <t>Eolienne</t>
  </si>
  <si>
    <t>Geothermie</t>
  </si>
  <si>
    <t>Hydrolienne</t>
  </si>
  <si>
    <t>Hydrogene</t>
  </si>
  <si>
    <t>Maremotrice</t>
  </si>
  <si>
    <t>Solaire</t>
  </si>
  <si>
    <t>AutreER</t>
  </si>
  <si>
    <t>ERAutre</t>
  </si>
  <si>
    <t>EEInno</t>
  </si>
  <si>
    <t>Electricite</t>
  </si>
  <si>
    <t>MazoutLeger</t>
  </si>
  <si>
    <t>MazoutLourd</t>
  </si>
  <si>
    <t>GazNaturel</t>
  </si>
  <si>
    <t>Essence</t>
  </si>
  <si>
    <t>AutreEE</t>
  </si>
  <si>
    <t>EEAutre</t>
  </si>
  <si>
    <t>Montantdem</t>
  </si>
  <si>
    <t>DateDemande</t>
  </si>
  <si>
    <t>Cinterne_Prevu</t>
  </si>
  <si>
    <t>Cexterne_Prevu</t>
  </si>
  <si>
    <t>Ctotaux_Prevu</t>
  </si>
  <si>
    <t>Cinterne_Reel</t>
  </si>
  <si>
    <t>Cexterne_reel</t>
  </si>
  <si>
    <t>Ctotaux_Reel</t>
  </si>
  <si>
    <t>NbreMes</t>
  </si>
  <si>
    <t>Recom</t>
  </si>
  <si>
    <t>RecomC</t>
  </si>
  <si>
    <t>PrescriptifC</t>
  </si>
  <si>
    <t>FO_TRIPHASE_V1</t>
  </si>
  <si>
    <t>Triphase</t>
  </si>
  <si>
    <t>Energie_SEQ</t>
  </si>
  <si>
    <t>Energie_Forme</t>
  </si>
  <si>
    <t>Energie_Unite</t>
  </si>
  <si>
    <t>Energie_MJU</t>
  </si>
  <si>
    <t>CO2equivNeutralite</t>
  </si>
  <si>
    <t>Energie_kWhU</t>
  </si>
  <si>
    <t>Energie_BtuU</t>
  </si>
  <si>
    <t>Energie_Commentaire</t>
  </si>
  <si>
    <t>Code_Etape</t>
  </si>
  <si>
    <t>ABR</t>
  </si>
  <si>
    <t>CO2</t>
  </si>
  <si>
    <t>CH4</t>
  </si>
  <si>
    <t>N2O</t>
  </si>
  <si>
    <t>CO2equiv</t>
  </si>
  <si>
    <t>Type_NRJ</t>
  </si>
  <si>
    <t>CodeCompileMaz</t>
  </si>
  <si>
    <t>Annexe 13 du Rapport d'inventaire national du Canada 1990-2010 partie 3</t>
  </si>
  <si>
    <t>02</t>
  </si>
  <si>
    <t>E</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</si>
  <si>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</si>
  <si>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</si>
  <si>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</si>
  <si>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r>
      <t>Mazout léger n</t>
    </r>
    <r>
      <rPr>
        <vertAlign val="superscript"/>
        <sz val="10"/>
        <color indexed="8"/>
        <rFont val="Arial"/>
        <family val="2"/>
      </rPr>
      <t>o</t>
    </r>
    <r>
      <rPr>
        <sz val="10"/>
        <color indexed="8"/>
        <rFont val="Arial"/>
        <family val="2"/>
      </rPr>
      <t xml:space="preserve"> 2</t>
    </r>
  </si>
  <si>
    <t>Règlement sur la déclaration obligatoire de certaines émission de contaminants dans l'atmosphère, Loi sur la qualité de l'environnement, Q-2, a.2.2, 109.1 et 124.1
Utilisation des données pour usages industriels.</t>
  </si>
  <si>
    <t>04</t>
  </si>
  <si>
    <t>MA2</t>
  </si>
  <si>
    <r>
      <t>Mazout lourd (n</t>
    </r>
    <r>
      <rPr>
        <vertAlign val="superscript"/>
        <sz val="10"/>
        <color indexed="8"/>
        <rFont val="Arial"/>
        <family val="2"/>
      </rPr>
      <t>os</t>
    </r>
    <r>
      <rPr>
        <sz val="10"/>
        <color indexed="8"/>
        <rFont val="Arial"/>
        <family val="2"/>
      </rPr>
      <t xml:space="preserve"> 4, 5 et 6)</t>
    </r>
  </si>
  <si>
    <t>MA6</t>
  </si>
  <si>
    <t>Règlement sur la déclaration obligatoire de certaines émission de contaminants dans l'atmosphère, Loi sur la qualité de l'environnement, Q-2, a.2.2, 109.1 et 124.1</t>
  </si>
  <si>
    <t>07</t>
  </si>
  <si>
    <t>P</t>
  </si>
  <si>
    <t>06</t>
  </si>
  <si>
    <t>05</t>
  </si>
  <si>
    <t>Règlement sur la déclaration obligatoire de certaines émission de contaminants dans l'atmosphère, Loi sur la qualité de l'environnement, Q-2, a.2.2, 109.1 et 124.1.  Facteur d’émission du guid des facteurs d’émissions de l’ADEME version 5.0.</t>
  </si>
  <si>
    <t>Règlement sur la déclaration obligatoire de certaines émission de contaminants dans l'atmosphère, Loi sur la qualité de l'environnement, Q-2, a.2.2, 109.1 et 124.1.
Utilisation des données CH4 et N2O pour le secteur industriel, centrales thermiques à vape</t>
  </si>
  <si>
    <t>Enlever</t>
  </si>
  <si>
    <t>Forintek avec valeur de la biomasse pour les émissions</t>
  </si>
  <si>
    <t>note: rebus de construction</t>
  </si>
  <si>
    <r>
      <t>Mazout léger n</t>
    </r>
    <r>
      <rPr>
        <vertAlign val="superscript"/>
        <sz val="10"/>
        <color indexed="8"/>
        <rFont val="Arial"/>
        <family val="2"/>
      </rPr>
      <t>o</t>
    </r>
    <r>
      <rPr>
        <sz val="10"/>
        <color indexed="8"/>
        <rFont val="Arial"/>
        <family val="2"/>
      </rPr>
      <t xml:space="preserve"> 1</t>
    </r>
  </si>
  <si>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</si>
  <si>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</si>
  <si>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Matières résiduelles collectés par une municipalité</t>
  </si>
  <si>
    <t>Règlement sur la déclaration obligatoire de certaines émission de contaminants dans l'atmosphère, Loi sur la qualité de l'environnement, Q-2, a.2.2, 109.1 et 124.1.z</t>
  </si>
  <si>
    <t>Règlement sur la déclaration obligatoire de certaines émission de contaminants dans l'atmosphère, Loi sur la qualité de l'environnement, Q-2, a.2.2, 109.1 et 124.1
1 kg donne 11,57 MJ</t>
  </si>
  <si>
    <t>PCGIECdef</t>
  </si>
  <si>
    <t>PCGIECmin</t>
  </si>
  <si>
    <t>PCGIECmax</t>
  </si>
  <si>
    <t>FEGIECdef</t>
  </si>
  <si>
    <t>FEGIECmin</t>
  </si>
  <si>
    <t>FEGIECmax</t>
  </si>
  <si>
    <t>%CO2Prod</t>
  </si>
  <si>
    <t>CO2prod</t>
  </si>
  <si>
    <t>33,6</t>
  </si>
  <si>
    <t>32,55</t>
  </si>
  <si>
    <t>35,28</t>
  </si>
  <si>
    <t>56,1</t>
  </si>
  <si>
    <t>54,3</t>
  </si>
  <si>
    <t>58,3</t>
  </si>
  <si>
    <t>25,542</t>
  </si>
  <si>
    <t>24,192</t>
  </si>
  <si>
    <t>28,188</t>
  </si>
  <si>
    <t>63,1</t>
  </si>
  <si>
    <t>61,6</t>
  </si>
  <si>
    <t>65,6</t>
  </si>
  <si>
    <t>36,55</t>
  </si>
  <si>
    <t>35,19</t>
  </si>
  <si>
    <t>36,805</t>
  </si>
  <si>
    <t>74,1</t>
  </si>
  <si>
    <t>72,6</t>
  </si>
  <si>
    <t>74,8</t>
  </si>
  <si>
    <t>31,453</t>
  </si>
  <si>
    <t>30,175</t>
  </si>
  <si>
    <t>31,808</t>
  </si>
  <si>
    <t>70</t>
  </si>
  <si>
    <t>67,5</t>
  </si>
  <si>
    <t>73</t>
  </si>
  <si>
    <t>40,2</t>
  </si>
  <si>
    <t>33,5</t>
  </si>
  <si>
    <t>41,2</t>
  </si>
  <si>
    <t>80,7</t>
  </si>
  <si>
    <t>89,9</t>
  </si>
  <si>
    <t>49,9</t>
  </si>
  <si>
    <t>47,5</t>
  </si>
  <si>
    <t>50,6</t>
  </si>
  <si>
    <t>57,6</t>
  </si>
  <si>
    <t>48,2</t>
  </si>
  <si>
    <t>69</t>
  </si>
  <si>
    <t>11,9</t>
  </si>
  <si>
    <t>5,5</t>
  </si>
  <si>
    <t>21,6</t>
  </si>
  <si>
    <t>101</t>
  </si>
  <si>
    <t>90,9</t>
  </si>
  <si>
    <t>115</t>
  </si>
  <si>
    <t>28,2</t>
  </si>
  <si>
    <t>25,1</t>
  </si>
  <si>
    <t>30,2</t>
  </si>
  <si>
    <t>107</t>
  </si>
  <si>
    <t>95,7</t>
  </si>
  <si>
    <t>119</t>
  </si>
  <si>
    <t>32,5</t>
  </si>
  <si>
    <t>29,7</t>
  </si>
  <si>
    <t>41,9</t>
  </si>
  <si>
    <t>97,5</t>
  </si>
  <si>
    <t>82,9</t>
  </si>
  <si>
    <t>29,5</t>
  </si>
  <si>
    <t>14,9</t>
  </si>
  <si>
    <t>58</t>
  </si>
  <si>
    <t>112</t>
  </si>
  <si>
    <t>95</t>
  </si>
  <si>
    <t>132</t>
  </si>
  <si>
    <t>85,3</t>
  </si>
  <si>
    <t>110</t>
  </si>
  <si>
    <t>15,6</t>
  </si>
  <si>
    <t>7,9</t>
  </si>
  <si>
    <t>31</t>
  </si>
  <si>
    <t>42,76</t>
  </si>
  <si>
    <t>Consommation annuelle d'énergie du cas de référence</t>
  </si>
  <si>
    <t>AAAA/MM/JJ =&gt;</t>
  </si>
  <si>
    <t>Période du</t>
  </si>
  <si>
    <t>au</t>
  </si>
  <si>
    <t>Quantité</t>
  </si>
  <si>
    <t>Coût Énergie</t>
  </si>
  <si>
    <t>GJ/an</t>
  </si>
  <si>
    <t>GES (t/an)</t>
  </si>
  <si>
    <t>$/GJ</t>
  </si>
  <si>
    <t>Total</t>
  </si>
  <si>
    <t>(remplissez l'onglet rapport détaillé des coûts)</t>
  </si>
  <si>
    <t>Interne</t>
  </si>
  <si>
    <t>Externe</t>
  </si>
  <si>
    <t>B. Acquisition de l'équipement de mesurage</t>
  </si>
  <si>
    <t>C. Mesurage, quantification et vérification</t>
  </si>
  <si>
    <t>D. Ingénierie ou services professionnels</t>
  </si>
  <si>
    <t>E. Installation et mise en fonction</t>
  </si>
  <si>
    <t>F. Contingences</t>
  </si>
  <si>
    <t>Description sommaire des activités du site</t>
  </si>
  <si>
    <t>Il n'y a rien là?</t>
  </si>
  <si>
    <t>Code Appel</t>
  </si>
  <si>
    <t>Pas de représentant technique</t>
  </si>
  <si>
    <t>Maître électricien</t>
  </si>
  <si>
    <t>Pas entrée dans le formulaire</t>
  </si>
  <si>
    <t>CC</t>
  </si>
  <si>
    <t>DescriptionCC</t>
  </si>
  <si>
    <t>00</t>
  </si>
  <si>
    <t>Gouvernement</t>
  </si>
  <si>
    <t>Commercial institutionnel</t>
  </si>
  <si>
    <t>1151201</t>
  </si>
  <si>
    <t>Gouvernement (Optimisation réfrigération)</t>
  </si>
  <si>
    <t>1151210</t>
  </si>
  <si>
    <t>10</t>
  </si>
  <si>
    <t>Privé (Agriculture)</t>
  </si>
  <si>
    <t>1158180</t>
  </si>
  <si>
    <t>Privé (Commercial)</t>
  </si>
  <si>
    <t>Privé (Optimisation réfrigération)</t>
  </si>
  <si>
    <t>Privé (Industriel)</t>
  </si>
  <si>
    <t>Privé (Industriel optimisation réfrigération)</t>
  </si>
  <si>
    <t>20</t>
  </si>
  <si>
    <t>Santé</t>
  </si>
  <si>
    <t>Santé (Optimisation réfrigération)</t>
  </si>
  <si>
    <t>30</t>
  </si>
  <si>
    <t>Éducation</t>
  </si>
  <si>
    <t>Éducation (Optimisation réfrigération)</t>
  </si>
  <si>
    <t>40</t>
  </si>
  <si>
    <t>Municipal (Optimisation réfrigération)</t>
  </si>
  <si>
    <t>50</t>
  </si>
  <si>
    <t>OSBL (Agriculture)</t>
  </si>
  <si>
    <t>OSBL (Institutionnel)</t>
  </si>
  <si>
    <t>OSBL (Commercial)</t>
  </si>
  <si>
    <t>OSBL (Optimisation réfrigération)</t>
  </si>
  <si>
    <t>OSBL (Industriel)</t>
  </si>
  <si>
    <t>Description sommaire du projet</t>
  </si>
  <si>
    <t>Coûts prévus</t>
  </si>
  <si>
    <t>Coûts réels</t>
  </si>
  <si>
    <t>Référence</t>
  </si>
  <si>
    <t>Projet</t>
  </si>
  <si>
    <t>Code_FrmNRJ</t>
  </si>
  <si>
    <t>Coût</t>
  </si>
  <si>
    <t>GES (t)</t>
  </si>
  <si>
    <t>GJ/production</t>
  </si>
  <si>
    <t>Montage_fin</t>
  </si>
  <si>
    <t>Nom site</t>
  </si>
  <si>
    <t>Code_Org</t>
  </si>
  <si>
    <t>Partenaire</t>
  </si>
  <si>
    <t>Detail</t>
  </si>
  <si>
    <t>Type_aide</t>
  </si>
  <si>
    <t>Contribution</t>
  </si>
  <si>
    <t>Pourcent</t>
  </si>
  <si>
    <t>Requérant</t>
  </si>
  <si>
    <t>Consomref</t>
  </si>
  <si>
    <t>Type_Depense</t>
  </si>
  <si>
    <t>Cint</t>
  </si>
  <si>
    <t>Cext</t>
  </si>
  <si>
    <t>Ctot</t>
  </si>
  <si>
    <t>CintProj</t>
  </si>
  <si>
    <t>CextProj</t>
  </si>
  <si>
    <t>CtotProj</t>
  </si>
  <si>
    <t>Rep_Dep</t>
  </si>
  <si>
    <t>Code_Entreprise_Autre_Fin</t>
  </si>
  <si>
    <t>Ordre</t>
  </si>
  <si>
    <t>Public</t>
  </si>
  <si>
    <t>C1</t>
  </si>
  <si>
    <t>C2</t>
  </si>
  <si>
    <t>MERN (smTE)</t>
  </si>
  <si>
    <t>MERN sous-ministériat à la Transition énergétique</t>
  </si>
  <si>
    <t>Gouv. Fédéral</t>
  </si>
  <si>
    <t>Gouvernement fédéral</t>
  </si>
  <si>
    <t>IQ</t>
  </si>
  <si>
    <t>Technologies du développement durable Canada</t>
  </si>
  <si>
    <t>Banque de développement du Canada</t>
  </si>
  <si>
    <t>CDE</t>
  </si>
  <si>
    <t>Centre de Développement Économique</t>
  </si>
  <si>
    <t>Ministère de l'Agriculture, des Pêcheries et de l’Alimentation du Québec</t>
  </si>
  <si>
    <t>MELS</t>
  </si>
  <si>
    <t>Ministère de l’Éducation, du Loisir et du Sport</t>
  </si>
  <si>
    <t>Ministère des Finances</t>
  </si>
  <si>
    <t>Ministère de la Santé et des Services Sociaux</t>
  </si>
  <si>
    <t>MTMDET</t>
  </si>
  <si>
    <t>Ministère des Transports, de la Mobilité durable et de l'Électrification des transport</t>
  </si>
  <si>
    <t>Autre Public</t>
  </si>
  <si>
    <t>Autre Privé</t>
  </si>
  <si>
    <t>RNCan</t>
  </si>
  <si>
    <t>Ressources naturelles Canada</t>
  </si>
  <si>
    <t>CNRC</t>
  </si>
  <si>
    <t>Conseil national de recherches du Canada</t>
  </si>
  <si>
    <t>CRSNG</t>
  </si>
  <si>
    <t>Conseil de recherches en sciences naturelles et en génie du Canada</t>
  </si>
  <si>
    <t>DEC</t>
  </si>
  <si>
    <t>Développement économique Canada</t>
  </si>
  <si>
    <t>MDDELCC</t>
  </si>
  <si>
    <t>Ministère du Développement durable, de l’Environnement et de la Lutte contre les changements climatiques</t>
  </si>
  <si>
    <t>Gouv. Provincial</t>
  </si>
  <si>
    <t>Gouvernement provincial</t>
  </si>
  <si>
    <t>Crédit d’impôt</t>
  </si>
  <si>
    <t>MESI</t>
  </si>
  <si>
    <t>Ministère de l'Économie, de la Science et de l'Innovation</t>
  </si>
  <si>
    <t>MFFP</t>
  </si>
  <si>
    <t>Ministère des Forêts, de la Faune et des Parcs</t>
  </si>
  <si>
    <t>Fondaction (CSN)</t>
  </si>
  <si>
    <t>FTQ</t>
  </si>
  <si>
    <t>Fonds de solidarité FTQ</t>
  </si>
  <si>
    <t>CDPQ</t>
  </si>
  <si>
    <t>Caisse de dépôt et placement du Québec</t>
  </si>
  <si>
    <t>Cycle capital management</t>
  </si>
  <si>
    <t>Cycle Capital Management</t>
  </si>
  <si>
    <t>C3E</t>
  </si>
  <si>
    <t>Centre d'excellence en efficacité énergétique</t>
  </si>
  <si>
    <t>Écofuel (Acc.)</t>
  </si>
  <si>
    <t>Accélérateur Ecofuel</t>
  </si>
  <si>
    <t>Écofuel (Fonds)</t>
  </si>
  <si>
    <t>Fonds Ecofuel</t>
  </si>
  <si>
    <t>Recyc-Québec</t>
  </si>
  <si>
    <t>Bonus Covid</t>
  </si>
  <si>
    <t>FADQ</t>
  </si>
  <si>
    <t>Entreprise_Autre_Fin</t>
  </si>
  <si>
    <t>Fin_autre</t>
  </si>
  <si>
    <t xml:space="preserve">Plan d'implantation des mesures </t>
  </si>
  <si>
    <t>Nom du requérant :</t>
  </si>
  <si>
    <t xml:space="preserve"> Personne-ressource  :    </t>
  </si>
  <si>
    <r>
      <t>N</t>
    </r>
    <r>
      <rPr>
        <sz val="8"/>
        <rFont val="Arial"/>
        <family val="2"/>
      </rPr>
      <t>º</t>
    </r>
    <r>
      <rPr>
        <sz val="8"/>
        <rFont val="Arial"/>
        <family val="2"/>
      </rPr>
      <t xml:space="preserve"> de l'entente : </t>
    </r>
  </si>
  <si>
    <t xml:space="preserve">Date du plan :    </t>
  </si>
  <si>
    <t>Tableau sommaire du plan d'implantation</t>
  </si>
  <si>
    <t>Plan d'action et suivi par le requérant</t>
  </si>
  <si>
    <r>
      <t>Mesure n°</t>
    </r>
    <r>
      <rPr>
        <sz val="7"/>
        <rFont val="Arial"/>
        <family val="2"/>
      </rPr>
      <t xml:space="preserve"> </t>
    </r>
    <r>
      <rPr>
        <vertAlign val="superscript"/>
        <sz val="7"/>
        <rFont val="Arial"/>
        <family val="2"/>
      </rPr>
      <t>(1)</t>
    </r>
  </si>
  <si>
    <t>Description</t>
  </si>
  <si>
    <t>Type
d'émission</t>
  </si>
  <si>
    <t>Consommation de référence</t>
  </si>
  <si>
    <t>Potentiel de réduction</t>
  </si>
  <si>
    <t>Investissement</t>
  </si>
  <si>
    <t>Aide potentielle
(si applicable)</t>
  </si>
  <si>
    <r>
      <t xml:space="preserve">PRI </t>
    </r>
    <r>
      <rPr>
        <vertAlign val="superscript"/>
        <sz val="7"/>
        <rFont val="Arial"/>
        <family val="2"/>
      </rPr>
      <t>(4)</t>
    </r>
  </si>
  <si>
    <r>
      <t>Engagement 
(maximum 10 ans)</t>
    </r>
    <r>
      <rPr>
        <vertAlign val="superscript"/>
        <sz val="7"/>
        <rFont val="Arial"/>
        <family val="2"/>
      </rPr>
      <t>(5)</t>
    </r>
  </si>
  <si>
    <t>Durée de vie</t>
  </si>
  <si>
    <r>
      <t xml:space="preserve">Recommandation </t>
    </r>
    <r>
      <rPr>
        <vertAlign val="superscript"/>
        <sz val="7"/>
        <rFont val="Arial"/>
        <family val="2"/>
      </rPr>
      <t>(6)</t>
    </r>
  </si>
  <si>
    <t>Remarques</t>
  </si>
  <si>
    <r>
      <t xml:space="preserve">Action </t>
    </r>
    <r>
      <rPr>
        <vertAlign val="superscript"/>
        <sz val="7"/>
        <rFont val="Arial"/>
        <family val="2"/>
      </rPr>
      <t>(7)</t>
    </r>
  </si>
  <si>
    <t>Année de réalisation prévue</t>
  </si>
  <si>
    <t>Aide financière demandée au MERN</t>
  </si>
  <si>
    <t>Année de réalisation réelle</t>
  </si>
  <si>
    <r>
      <t>Forme d'énergie ou PRP</t>
    </r>
    <r>
      <rPr>
        <vertAlign val="superscript"/>
        <sz val="7"/>
        <rFont val="Arial"/>
        <family val="2"/>
      </rPr>
      <t xml:space="preserve"> (2)</t>
    </r>
  </si>
  <si>
    <t>Teneur
Humidité
%</t>
  </si>
  <si>
    <t>Quantité/an</t>
  </si>
  <si>
    <r>
      <t xml:space="preserve">Quantité/unité de prod. </t>
    </r>
    <r>
      <rPr>
        <vertAlign val="superscript"/>
        <sz val="7"/>
        <rFont val="Arial"/>
        <family val="2"/>
      </rPr>
      <t>(3)</t>
    </r>
  </si>
  <si>
    <t>Unité prod.</t>
  </si>
  <si>
    <t>Prix unitaire</t>
  </si>
  <si>
    <t>$/an</t>
  </si>
  <si>
    <t>Sans aide ($)</t>
  </si>
  <si>
    <t>Avec aide ($)</t>
  </si>
  <si>
    <t>($)</t>
  </si>
  <si>
    <t>Source de l'aide</t>
  </si>
  <si>
    <t>Sans aide (an)</t>
  </si>
  <si>
    <t>Avec aide (an)</t>
  </si>
  <si>
    <t>Coûts
internes</t>
  </si>
  <si>
    <t>Coûts
externes</t>
  </si>
  <si>
    <t>Coûts
totaux</t>
  </si>
  <si>
    <t>No_Mesure</t>
  </si>
  <si>
    <t>Type_Emission</t>
  </si>
  <si>
    <t>NRJ/PRP</t>
  </si>
  <si>
    <t>UNITE</t>
  </si>
  <si>
    <t>TH</t>
  </si>
  <si>
    <t>QteRef</t>
  </si>
  <si>
    <t>Cons_Spec</t>
  </si>
  <si>
    <t>UNiteProd</t>
  </si>
  <si>
    <t>QteProj</t>
  </si>
  <si>
    <t>Coutunit</t>
  </si>
  <si>
    <t>CoutNRJ</t>
  </si>
  <si>
    <t>GES</t>
  </si>
  <si>
    <t>Iaa</t>
  </si>
  <si>
    <t>S</t>
  </si>
  <si>
    <t>Aideref</t>
  </si>
  <si>
    <t>PRIsa</t>
  </si>
  <si>
    <t>PRIaa</t>
  </si>
  <si>
    <t>Vie</t>
  </si>
  <si>
    <t>Recommandation (6)</t>
  </si>
  <si>
    <t>Action (7)</t>
  </si>
  <si>
    <t>Anprev</t>
  </si>
  <si>
    <t>AidedemR</t>
  </si>
  <si>
    <t>Anreel</t>
  </si>
  <si>
    <t>Aidedem</t>
  </si>
  <si>
    <t>Code_Volet</t>
  </si>
  <si>
    <t>Code_composante</t>
  </si>
  <si>
    <t>Type_Emisison</t>
  </si>
  <si>
    <t>Code_NRJ/PRP</t>
  </si>
  <si>
    <t>GesAmont</t>
  </si>
  <si>
    <t>Code_Fin_Autre</t>
  </si>
  <si>
    <t>Code_recom</t>
  </si>
  <si>
    <t>Code_Action</t>
  </si>
  <si>
    <t>GrandConsom</t>
  </si>
  <si>
    <t>(1) Si, pour une même mesure, il y a des réductions ou des augmentations de la consommation énergétique ou que la mesure implique différentes  formes d'énergie, celles-ci doivent être présentées sur des lignes différentes.</t>
  </si>
  <si>
    <t>(6) Recommandation</t>
  </si>
  <si>
    <t>(7) Action</t>
  </si>
  <si>
    <r>
      <t xml:space="preserve">    Voir le </t>
    </r>
    <r>
      <rPr>
        <i/>
        <sz val="8"/>
        <rFont val="Arial"/>
        <family val="2"/>
      </rPr>
      <t>Guide détaillé du requérant</t>
    </r>
    <r>
      <rPr>
        <sz val="8"/>
        <rFont val="Arial"/>
        <family val="2"/>
      </rPr>
      <t xml:space="preserve"> pour plus de détails</t>
    </r>
  </si>
  <si>
    <t>(2) Formes d'énergie et unités énergétiques :</t>
  </si>
  <si>
    <t xml:space="preserve">      I-Implanter</t>
  </si>
  <si>
    <t xml:space="preserve">     1- Implantée</t>
  </si>
  <si>
    <t>(3) Si applicable, spécifiez l'unité de production</t>
  </si>
  <si>
    <t xml:space="preserve">     N-Ne rien faire</t>
  </si>
  <si>
    <t xml:space="preserve">     2- En cours d'implantation</t>
  </si>
  <si>
    <r>
      <t xml:space="preserve">(4) La </t>
    </r>
    <r>
      <rPr>
        <b/>
        <sz val="8"/>
        <rFont val="Arial"/>
        <family val="2"/>
      </rPr>
      <t xml:space="preserve">PRI </t>
    </r>
    <r>
      <rPr>
        <sz val="8"/>
        <rFont val="Arial"/>
        <family val="2"/>
      </rPr>
      <t xml:space="preserve">est définie comme étant le rapport : </t>
    </r>
  </si>
  <si>
    <t xml:space="preserve">     E-Étude supplémentaire requise</t>
  </si>
  <si>
    <t xml:space="preserve">     3- Dans la prochaine année</t>
  </si>
  <si>
    <t xml:space="preserve">      Coûts du projet/économies nettes liées à la consommation énergétique (différence entre réductions et augmentations)</t>
  </si>
  <si>
    <t xml:space="preserve">     4- D'ici deux ans</t>
  </si>
  <si>
    <r>
      <t xml:space="preserve">      Se référer au </t>
    </r>
    <r>
      <rPr>
        <i/>
        <sz val="8"/>
        <rFont val="Arial"/>
        <family val="2"/>
      </rPr>
      <t>Guide détaillé du requérant</t>
    </r>
    <r>
      <rPr>
        <sz val="8"/>
        <rFont val="Arial"/>
        <family val="2"/>
      </rPr>
      <t xml:space="preserve"> pour d'autres détails</t>
    </r>
  </si>
  <si>
    <t xml:space="preserve">     5- Ne sera pas implantée</t>
  </si>
  <si>
    <t>(5) Pour le volet conversion seulement</t>
  </si>
  <si>
    <t>E-Site</t>
  </si>
  <si>
    <t>F-Consommation d'énergie</t>
  </si>
  <si>
    <t>Titre du projet</t>
  </si>
  <si>
    <t>Échéancier :</t>
  </si>
  <si>
    <t>Date prévue de début du projet</t>
  </si>
  <si>
    <t>Date prévue de mise en fonction</t>
  </si>
  <si>
    <t xml:space="preserve"> Date prévue de fin du projet</t>
  </si>
  <si>
    <t>(AAAA/MM/JJ)</t>
  </si>
  <si>
    <t>(Implantation seulement)</t>
  </si>
  <si>
    <t>Nbre</t>
  </si>
  <si>
    <t>Mesure</t>
  </si>
  <si>
    <t>Éco ($)</t>
  </si>
  <si>
    <t>Raccordement</t>
  </si>
  <si>
    <t>Extension</t>
  </si>
  <si>
    <t>Énergie remplacée</t>
  </si>
  <si>
    <t>Triphasé</t>
  </si>
  <si>
    <t>102</t>
  </si>
  <si>
    <t>Énergie_réduit</t>
  </si>
  <si>
    <t>Code SCIAN</t>
  </si>
  <si>
    <t>G-Projet</t>
  </si>
  <si>
    <t>H-Sommaire coûts projet</t>
  </si>
  <si>
    <t>Gestion_d_énergie</t>
  </si>
  <si>
    <t>Eff_énergétique</t>
  </si>
  <si>
    <t>Émissions_fugitives</t>
  </si>
  <si>
    <t>Bioénergies</t>
  </si>
  <si>
    <t>Énergies émergentes</t>
  </si>
  <si>
    <t>Solaires</t>
  </si>
  <si>
    <t>Traditionnelles</t>
  </si>
  <si>
    <t>Type_emissions</t>
  </si>
  <si>
    <t>Fugitive</t>
  </si>
  <si>
    <t>Aucun</t>
  </si>
  <si>
    <t>PRP_SEQ</t>
  </si>
  <si>
    <t>PRP_GAZ</t>
  </si>
  <si>
    <t>PRP_FORMULE</t>
  </si>
  <si>
    <t>PRP_PRP</t>
  </si>
  <si>
    <t>Source donnees</t>
  </si>
  <si>
    <t>Dioxyde de carbone (R-744)</t>
  </si>
  <si>
    <t>HFC-134a</t>
  </si>
  <si>
    <t>CH2FCF3</t>
  </si>
  <si>
    <t>HCFC-22 (R-22)</t>
  </si>
  <si>
    <t>CHClF2</t>
  </si>
  <si>
    <t>Changes in atmospheric constituents and in radiative forcing (table 2.14 100-yr TAR)</t>
  </si>
  <si>
    <t>R-404A</t>
  </si>
  <si>
    <t>0,04(HFC-134a)+0,44(HFC-125)+0,52(HFC-143a)</t>
  </si>
  <si>
    <t>R-407A</t>
  </si>
  <si>
    <t>0,4(HFC-134a)+0,4(HFC-125)+0,2(HFC-32)</t>
  </si>
  <si>
    <t>R-507a</t>
  </si>
  <si>
    <t>0,5(HFC-125)+0,5(HFC-143a)</t>
  </si>
  <si>
    <t>Ammoniac (R-717)</t>
  </si>
  <si>
    <t>NH3</t>
  </si>
  <si>
    <t>Internation Institute of Ammonia Refrigeration  (IIAR) www.iiar.org</t>
  </si>
  <si>
    <t>R-422D</t>
  </si>
  <si>
    <t>0,651(HFC-125)+0,315(HFC-134a)+0,034*(600a)</t>
  </si>
  <si>
    <t>Bromure de méthyle</t>
  </si>
  <si>
    <t>CH3Br</t>
  </si>
  <si>
    <t>CFC-11</t>
  </si>
  <si>
    <t>CCl3F</t>
  </si>
  <si>
    <t>CFC-113</t>
  </si>
  <si>
    <t>CCl2FCClF2</t>
  </si>
  <si>
    <t>CFC-114</t>
  </si>
  <si>
    <t>CClF2CClF2</t>
  </si>
  <si>
    <t>CFC-115</t>
  </si>
  <si>
    <t>CClF2CF3</t>
  </si>
  <si>
    <t>CFC-12</t>
  </si>
  <si>
    <t>CCl2F2</t>
  </si>
  <si>
    <t>CFC-13</t>
  </si>
  <si>
    <t>CClF3</t>
  </si>
  <si>
    <t>Halon 1301</t>
  </si>
  <si>
    <t>CBrF3</t>
  </si>
  <si>
    <t>Halon-1211</t>
  </si>
  <si>
    <t>CBrClF2</t>
  </si>
  <si>
    <t>Halon-2402</t>
  </si>
  <si>
    <t>CBrF2CBrF2</t>
  </si>
  <si>
    <t>HCFC-123</t>
  </si>
  <si>
    <t>CHCl2CF3</t>
  </si>
  <si>
    <t>HCFC-124</t>
  </si>
  <si>
    <t>CHClFCF3</t>
  </si>
  <si>
    <t>HCFC-141b</t>
  </si>
  <si>
    <t>CH3CCl2F</t>
  </si>
  <si>
    <t>HCFC-142b</t>
  </si>
  <si>
    <t>CH3CClF2</t>
  </si>
  <si>
    <t>HCFC-225ca</t>
  </si>
  <si>
    <t>CHCl2CF2CF3</t>
  </si>
  <si>
    <t>HCFC-225cb</t>
  </si>
  <si>
    <t>CHClFCF2CClF2</t>
  </si>
  <si>
    <t>Hexafluorure de soufre</t>
  </si>
  <si>
    <t>SF6</t>
  </si>
  <si>
    <t>HFC-125</t>
  </si>
  <si>
    <t>C2HF5</t>
  </si>
  <si>
    <t>HFC-134</t>
  </si>
  <si>
    <t>CHF2CHF2</t>
  </si>
  <si>
    <t>HFC-143</t>
  </si>
  <si>
    <t>C2H3F3</t>
  </si>
  <si>
    <t>HFC-143a</t>
  </si>
  <si>
    <t>HFC-152a</t>
  </si>
  <si>
    <t>C2H4F2</t>
  </si>
  <si>
    <t>HFC-161</t>
  </si>
  <si>
    <t>C2H5F</t>
  </si>
  <si>
    <t>HFC-227ea</t>
  </si>
  <si>
    <t>C3HF7</t>
  </si>
  <si>
    <t>HFC-23</t>
  </si>
  <si>
    <t>CHF3</t>
  </si>
  <si>
    <t>HFC-236cb</t>
  </si>
  <si>
    <t>C3H2F6</t>
  </si>
  <si>
    <t>HFC-236ea</t>
  </si>
  <si>
    <t>HFC-236fa</t>
  </si>
  <si>
    <t>HFC-245ca</t>
  </si>
  <si>
    <t>C3H3F5</t>
  </si>
  <si>
    <t>HFC-245fa</t>
  </si>
  <si>
    <t>CHF 2CH 2CF 3</t>
  </si>
  <si>
    <t>HFC-32</t>
  </si>
  <si>
    <t>CH2F2</t>
  </si>
  <si>
    <t>HFC-365mfc</t>
  </si>
  <si>
    <t>C4H5F5</t>
  </si>
  <si>
    <t>HFC-41</t>
  </si>
  <si>
    <t>CH3F</t>
  </si>
  <si>
    <t>HFC-43-10mee</t>
  </si>
  <si>
    <t>C5H2F10</t>
  </si>
  <si>
    <t>Méthane (R-50)</t>
  </si>
  <si>
    <t>Méthylchloroforme</t>
  </si>
  <si>
    <t>CH3CCl3</t>
  </si>
  <si>
    <t>Oxyde nitreux (R-744a)</t>
  </si>
  <si>
    <t>Oxyfume 88/12</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</si>
  <si>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</si>
  <si>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</si>
  <si>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Perfluorobutane (PFC-3-1-10)</t>
  </si>
  <si>
    <t>C4F10</t>
  </si>
  <si>
    <t>Perfluorocyclobutane (PFC-318)</t>
  </si>
  <si>
    <t>c-C4F8</t>
  </si>
  <si>
    <t>Perfluoroéthane (PFC-116)</t>
  </si>
  <si>
    <t>C2F6</t>
  </si>
  <si>
    <t>Perfluorohexane (PFC5-1-14)</t>
  </si>
  <si>
    <t>C6F14</t>
  </si>
  <si>
    <t>Perfluorométhane (PFC-14)</t>
  </si>
  <si>
    <t>CF4</t>
  </si>
  <si>
    <t>Perfluoropentane (PFC-4-1-12)</t>
  </si>
  <si>
    <t>C5F12</t>
  </si>
  <si>
    <t>Perfluoropropane (PFC-218)</t>
  </si>
  <si>
    <t>C3F8</t>
  </si>
  <si>
    <t>R-400</t>
  </si>
  <si>
    <t>0,5(CFC-12)+0,5(CFC-114)</t>
  </si>
  <si>
    <t>R-401A</t>
  </si>
  <si>
    <t>0,53(HCFC-22)+0,34(HCFC-124)+0,13(HFC-152a)</t>
  </si>
  <si>
    <t>R-401B</t>
  </si>
  <si>
    <t>0,61(HCFC-22)+0,28(HCFC-124)+0,11(HFC-152a)</t>
  </si>
  <si>
    <t>R-401C</t>
  </si>
  <si>
    <t>0,33(HCFC-22)+0,15(HFC-152a)+0,52(HCFC-124)</t>
  </si>
  <si>
    <t>Changes in atmospheric constituents and in radiative forcing (table 2.14 100-yr TAR) et Règlement sur la déclaration obligatoire de certaines émission de contaminants dans l'atmosphère, Loi sur la qualité de l'environnement, Q-2, a.2.2, 109.1 et 124.1</t>
  </si>
  <si>
    <t>R-402A</t>
  </si>
  <si>
    <t>0,6(HFC-125)+0,38(HCFC-22)+0,02(C3H8)</t>
  </si>
  <si>
    <t>R-402B</t>
  </si>
  <si>
    <t>0,38(HFC-125)+0,60(HCFC-22)+0,02(C3H8)</t>
  </si>
  <si>
    <t>R-403A</t>
  </si>
  <si>
    <t>0,05(C3H8)+0,75(HCFC-22)+0,2(C3F8)</t>
  </si>
  <si>
    <t>R-403B</t>
  </si>
  <si>
    <t>0,05(C3H8)+0,56(HCFC-22)+0,39(C3F8)</t>
  </si>
  <si>
    <t>R-405A</t>
  </si>
  <si>
    <t>0,45(22)+0,07(152a)+0,055(142b)+0,425(C318)</t>
  </si>
  <si>
    <t>R-406A</t>
  </si>
  <si>
    <t>0,55(HCFC-22)+,04(R-600a)+0,41(HCFC-142b)</t>
  </si>
  <si>
    <t>R-407B</t>
  </si>
  <si>
    <t>0,1(HFC-32)+0,7(HFC-125)+0,2(HFC-134a)</t>
  </si>
  <si>
    <t>R-407C</t>
  </si>
  <si>
    <t>0,23(HFC-32)+0,25(HFC-125)+0,52(HFC-134a)</t>
  </si>
  <si>
    <t>R-407D</t>
  </si>
  <si>
    <t>0,15(HFC-32)+0,15(HFC-125)+0,7(HFC-134a)</t>
  </si>
  <si>
    <t>R-407E</t>
  </si>
  <si>
    <t>0,25(HFC-32)+0,15(HFC-125)+0,6(HFC-134a)</t>
  </si>
  <si>
    <t>R-408A</t>
  </si>
  <si>
    <t>0,47(HCFC-22)+0,46(HFC-143a)+0,07(HFC-125)</t>
  </si>
  <si>
    <t>R-409A</t>
  </si>
  <si>
    <t>0,6(HCFC-22)+0,25(HCFC-124)+0,15(HCFC-142b)</t>
  </si>
  <si>
    <t>R-409B</t>
  </si>
  <si>
    <t>0,65(HCFC-22)+0,25(HCFC-124)+0,1(HCFC-142b)</t>
  </si>
  <si>
    <t>R-410A</t>
  </si>
  <si>
    <t>0,5(HFC-125)+0,5(HFC-32)</t>
  </si>
  <si>
    <t>R-410B</t>
  </si>
  <si>
    <t>0,45(HFC-125)+0,55(HFC-32)</t>
  </si>
  <si>
    <t>R-411A</t>
  </si>
  <si>
    <t>0,015*(R-1270)+0,875(HFC-22)+,11(HFC-152a)</t>
  </si>
  <si>
    <t>Règlement sur la déclaration obligatoire de certaines émission de contaminants dans l'atmosphère, Loi sur la qualité de l'environnement, Q-2, a.2.2, 109.1 et 124.1 (note additionnelle: le 1,5% de propylene (R1270) a été négligé dans le calcul)</t>
  </si>
  <si>
    <t>R-411B</t>
  </si>
  <si>
    <t>0,03*(R-1270)+0,94(HFC-22)+,03(HFC-152a)</t>
  </si>
  <si>
    <t>R-412A</t>
  </si>
  <si>
    <t>0,7(HCFC-22)+0,05(PFC-218)+0,25(HCFC-142b)</t>
  </si>
  <si>
    <t>R-413A</t>
  </si>
  <si>
    <t>0,09(PFC-218)+0,88(HFC-134a)+0,03*(600a)</t>
  </si>
  <si>
    <t>Règlement sur la déclaration obligatoire de certaines émission de contaminants dans l'atmosphère, Loi sur la qualité de l'environnement, Q-2, a.2.2, 109.1 et 124.1 (note additionnelle: PRP du butane utilisé pour le PRP de l'isobutane)</t>
  </si>
  <si>
    <t>R-414A</t>
  </si>
  <si>
    <t>0,51(R-22)+0,285(HCFC-124)+,04*(600a)+0,165(142b)</t>
  </si>
  <si>
    <t>R-414B</t>
  </si>
  <si>
    <t>0,5(R-22)+0,39(HCFC-124)+,015*(600a)+0,095(142b)</t>
  </si>
  <si>
    <t>R-415A</t>
  </si>
  <si>
    <t>0,82(HFC-22)+0,18(HFC-152a)</t>
  </si>
  <si>
    <t>R-415B</t>
  </si>
  <si>
    <t>0,25(HFC-22)+0,75(HFC-152a)</t>
  </si>
  <si>
    <t>R-416A</t>
  </si>
  <si>
    <t>0,59(HFC-134a)+0,395(HCFC-124)+0,015(600)</t>
  </si>
  <si>
    <t>R-417A</t>
  </si>
  <si>
    <t>0,466(HFC-125)+0,5(HFC-134a)+0,034(600)</t>
  </si>
  <si>
    <t>R-418A</t>
  </si>
  <si>
    <t>0,015(propane)+0,96(HCFC-22)+0,025(HFC-152a)</t>
  </si>
  <si>
    <t>R-419A</t>
  </si>
  <si>
    <t>0,77(HFC-125)+0,19(HFC-134a)+0,04(ethane)</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</si>
  <si>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</si>
  <si>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</si>
  <si>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</si>
  <si>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</si>
  <si>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</si>
  <si>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</si>
  <si>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</si>
  <si>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</si>
  <si>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</si>
  <si>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</si>
  <si>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</si>
  <si>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</si>
  <si>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</si>
  <si>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</si>
  <si>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</si>
  <si>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</si>
  <si>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Règlement sur la déclaration obligatoire de certaines émission de contaminants dans l'atmosphère, Loi sur la qualité de l'environnement, Q-2, a.2.2, 109.1 et 124.1 (note dditionnelle: Pentane (601) et isopentane (601a) sont négligés et Butane (600) et iso</t>
  </si>
  <si>
    <t>R-425A</t>
  </si>
  <si>
    <t>0,185(HFC-32)+0,695(HFC-134a)+0,12(HFC-227ea)</t>
  </si>
  <si>
    <t>R-426A</t>
  </si>
  <si>
    <t>0,051(HFC-125)+0,93(134a)+0,013(600a)+0,006(601a)</t>
  </si>
  <si>
    <t>R-427A</t>
  </si>
  <si>
    <t>0,15(HFC32)+,25(HFC125)+,1(HFC143a)+,5(HFC134a)</t>
  </si>
  <si>
    <t>R-428A</t>
  </si>
  <si>
    <t>,775(HFC125)+,2(HFC143a)+,006(propane)+0,019(600a)</t>
  </si>
  <si>
    <t>R-438A</t>
  </si>
  <si>
    <t>,085(32)+,45(125)+,442(134a)+,017(600)+,006*(601a)</t>
  </si>
  <si>
    <t>R-500</t>
  </si>
  <si>
    <t>0,735(CFC-12)+0,262(HFC-152a)</t>
  </si>
  <si>
    <t>R-501</t>
  </si>
  <si>
    <t>0,75(HCFC-22)+0,25(CFC-12)</t>
  </si>
  <si>
    <t>R-502</t>
  </si>
  <si>
    <t>0,488(HCFC-22)+0,512(CFC-115)</t>
  </si>
  <si>
    <t>R-503</t>
  </si>
  <si>
    <t>0,401(HFC-23)+0,599(CFC-13)</t>
  </si>
  <si>
    <t>R-504</t>
  </si>
  <si>
    <t>0,482(HFC-32)+0,518(CFC-115)</t>
  </si>
  <si>
    <t>R-508A</t>
  </si>
  <si>
    <t>0,39(HFC-23)+0,61(PFC-116)</t>
  </si>
  <si>
    <t>R-508B</t>
  </si>
  <si>
    <t>0,46(HFC-23)+0,54(PFC-116)</t>
  </si>
  <si>
    <t>R-509A</t>
  </si>
  <si>
    <t>0,44(HCFC-22)+0,56(PFC-218)</t>
  </si>
  <si>
    <t>Tétrachlorure de carbone</t>
  </si>
  <si>
    <t>CCl4</t>
  </si>
  <si>
    <t>Trifluorure d'azote</t>
  </si>
  <si>
    <t>NF3</t>
  </si>
  <si>
    <t>N/A</t>
  </si>
  <si>
    <t>Implanter</t>
  </si>
  <si>
    <t>Ne rien faire</t>
  </si>
  <si>
    <t>Étude supplémentaire requise</t>
  </si>
  <si>
    <t>Implantée</t>
  </si>
  <si>
    <t>En cours d'implantation</t>
  </si>
  <si>
    <t>Dans la prochaine année</t>
  </si>
  <si>
    <t>D'ici deux ans</t>
  </si>
  <si>
    <t>Ne sera pas implantée</t>
  </si>
  <si>
    <t>Action</t>
  </si>
  <si>
    <t>OuiNon</t>
  </si>
  <si>
    <t>Aide_dem</t>
  </si>
  <si>
    <t>4</t>
  </si>
  <si>
    <t>41</t>
  </si>
  <si>
    <t>42</t>
  </si>
  <si>
    <t>43</t>
  </si>
  <si>
    <t>C</t>
  </si>
  <si>
    <t>I</t>
  </si>
  <si>
    <t>N</t>
  </si>
  <si>
    <t>Rendement</t>
  </si>
  <si>
    <t>Quantité remplacée</t>
  </si>
  <si>
    <t>Aide maximale($)</t>
  </si>
  <si>
    <t>101 ou 102</t>
  </si>
  <si>
    <t>Aide_max</t>
  </si>
  <si>
    <t>FORMULAIRE DE DEMANDE D'AIDE FINANCIÈRE</t>
  </si>
  <si>
    <r>
      <t xml:space="preserve">TOTAL DES COÛTS DU PROJET </t>
    </r>
    <r>
      <rPr>
        <sz val="9"/>
        <rFont val="Arial"/>
        <family val="2"/>
      </rPr>
      <t>(</t>
    </r>
    <r>
      <rPr>
        <i/>
        <sz val="9"/>
        <rFont val="Arial"/>
        <family val="2"/>
      </rPr>
      <t>Reportez ce montant sur le formulaire</t>
    </r>
    <r>
      <rPr>
        <sz val="9"/>
        <rFont val="Arial"/>
        <family val="2"/>
      </rPr>
      <t>)</t>
    </r>
  </si>
  <si>
    <t>COÛTS RÉELS</t>
  </si>
  <si>
    <t>COÛTS ESTIMÉS PROJET</t>
  </si>
  <si>
    <t>COÛTS ESTIMÉS RÉFÉRENCE</t>
  </si>
  <si>
    <t>TOTAL</t>
  </si>
  <si>
    <t>Sous-total</t>
  </si>
  <si>
    <t>Coûts (B)</t>
  </si>
  <si>
    <t>N° facture</t>
  </si>
  <si>
    <t>Coûts (A)</t>
  </si>
  <si>
    <t xml:space="preserve">Date </t>
  </si>
  <si>
    <t>N°</t>
  </si>
  <si>
    <t>Internes</t>
  </si>
  <si>
    <t>Externes</t>
  </si>
  <si>
    <t>N° de soumission
ou heures mo interne</t>
  </si>
  <si>
    <t>Comptable</t>
  </si>
  <si>
    <t>Justification des écarts (B-A)</t>
  </si>
  <si>
    <t>Facture</t>
  </si>
  <si>
    <t>Bons de commande</t>
  </si>
  <si>
    <t>Coûts réels (B)</t>
  </si>
  <si>
    <t>Coûts additionnels</t>
  </si>
  <si>
    <t xml:space="preserve">Coûts estimés Projet (A) </t>
  </si>
  <si>
    <t>Scénario de référence Coûts estimés (si applicable)</t>
  </si>
  <si>
    <t>N° d'imputation</t>
  </si>
  <si>
    <t>Description des biens/services achetés</t>
  </si>
  <si>
    <t>Nom du fournisseur</t>
  </si>
  <si>
    <t xml:space="preserve">SUIVI DES COÛTS </t>
  </si>
  <si>
    <t>ESTIMATION DES COÛTS</t>
  </si>
  <si>
    <t xml:space="preserve">Date du rapport : </t>
  </si>
  <si>
    <t xml:space="preserve">Nº de l'entente : </t>
  </si>
  <si>
    <t xml:space="preserve"> Personne-ressource  :</t>
  </si>
  <si>
    <t>tot</t>
  </si>
  <si>
    <t>ext</t>
  </si>
  <si>
    <t>int</t>
  </si>
  <si>
    <t>Proj</t>
  </si>
  <si>
    <t>Ref</t>
  </si>
  <si>
    <t>Rapport détaillé des coûts</t>
  </si>
  <si>
    <t>PROGRAMME D'ACCÈS AU RÉSEAU TRIPHASÉ</t>
  </si>
  <si>
    <t>1158190</t>
  </si>
  <si>
    <t>Ministère de l’Environnement, de la Lutte contre les changements climatiques, de la Faune et des Parcs</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</si>
  <si>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</si>
  <si>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</si>
  <si>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</si>
  <si>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Instructions générales</t>
  </si>
  <si>
    <t>›  Soumission de l'électricien</t>
  </si>
  <si>
    <t>›  Courriel du distributeur contenant l’estimation des coûts et le numéro de la demande.</t>
  </si>
  <si>
    <r>
      <t xml:space="preserve">›  Procuration si le signataire autorisé n'est pas au Registraire des entreprises du Québec </t>
    </r>
    <r>
      <rPr>
        <sz val="8"/>
        <color indexed="8"/>
        <rFont val="Arial"/>
        <family val="2"/>
      </rPr>
      <t>(REQ)</t>
    </r>
  </si>
  <si>
    <r>
      <t xml:space="preserve">›  Formulaire rempli, signé et daté, avec les cases de la section </t>
    </r>
    <r>
      <rPr>
        <b/>
        <sz val="10"/>
        <color indexed="8"/>
        <rFont val="Arial"/>
        <family val="2"/>
      </rPr>
      <t>J</t>
    </r>
    <r>
      <rPr>
        <sz val="10"/>
        <color indexed="8"/>
        <rFont val="Arial"/>
        <family val="2"/>
      </rPr>
      <t xml:space="preserve"> cochées, au format Excel</t>
    </r>
  </si>
  <si>
    <t>K- Documents obligatoires à fournir</t>
  </si>
  <si>
    <r>
      <t xml:space="preserve">Date </t>
    </r>
    <r>
      <rPr>
        <sz val="8"/>
        <color indexed="8"/>
        <rFont val="Arial"/>
        <family val="2"/>
      </rPr>
      <t>(aaaa-mm-jj)</t>
    </r>
  </si>
  <si>
    <r>
      <t xml:space="preserve">Signature </t>
    </r>
    <r>
      <rPr>
        <sz val="8"/>
        <color indexed="8"/>
        <rFont val="Arial"/>
        <family val="2"/>
      </rPr>
      <t>(manuscrite ou électronique)</t>
    </r>
  </si>
  <si>
    <r>
      <t>Je déclare qu'</t>
    </r>
    <r>
      <rPr>
        <sz val="10"/>
        <color indexed="10"/>
        <rFont val="Arial"/>
        <family val="2"/>
      </rPr>
      <t>aucune facture n'a été émise pour ce projet plus de 30 jours</t>
    </r>
    <r>
      <rPr>
        <sz val="10"/>
        <rFont val="Arial"/>
        <family val="2"/>
      </rPr>
      <t xml:space="preserve"> avant la transmission de cette demande.</t>
    </r>
  </si>
  <si>
    <t>Je m'engage à laisser la mesure en place et fonctionnelle pour une période minimale de 10 ans.</t>
  </si>
  <si>
    <t>J- Déclaration du signataire autorisé</t>
  </si>
  <si>
    <t>Total des contributions</t>
  </si>
  <si>
    <t>MELCCFP</t>
  </si>
  <si>
    <r>
      <rPr>
        <b/>
        <sz val="10"/>
        <color indexed="8"/>
        <rFont val="Arial"/>
        <family val="2"/>
      </rPr>
      <t>Note :</t>
    </r>
    <r>
      <rPr>
        <sz val="10"/>
        <color indexed="8"/>
        <rFont val="Arial"/>
        <family val="2"/>
      </rPr>
      <t xml:space="preserve"> Si d’autres organismes ou partenaires contribuent financièrement au projet, veuillez le préciser ci-dessous.</t>
    </r>
  </si>
  <si>
    <t>I- Données financières</t>
  </si>
  <si>
    <t>Total des coûts</t>
  </si>
  <si>
    <t>D. Contingences</t>
  </si>
  <si>
    <t>C. Ingénierie ou services professionnels</t>
  </si>
  <si>
    <t>B. Estimation des coûts du distributeur d'électricité</t>
  </si>
  <si>
    <t>A. Estimation pour l'électricien</t>
  </si>
  <si>
    <t>H- Sommaire des coûts du projet</t>
  </si>
  <si>
    <r>
      <t xml:space="preserve">Date prévue de fin </t>
    </r>
    <r>
      <rPr>
        <sz val="8"/>
        <color indexed="8"/>
        <rFont val="Arial"/>
        <family val="2"/>
      </rPr>
      <t>(aaaa-mm-jj)</t>
    </r>
  </si>
  <si>
    <r>
      <t xml:space="preserve">Date prévue de début </t>
    </r>
    <r>
      <rPr>
        <sz val="8"/>
        <color indexed="8"/>
        <rFont val="Arial"/>
        <family val="2"/>
      </rPr>
      <t>(aaaa-mm-jj)</t>
    </r>
  </si>
  <si>
    <t>Échéancier</t>
  </si>
  <si>
    <r>
      <t xml:space="preserve">Aide estimée </t>
    </r>
    <r>
      <rPr>
        <sz val="8"/>
        <color indexed="8"/>
        <rFont val="Arial"/>
        <family val="2"/>
      </rPr>
      <t>($)</t>
    </r>
  </si>
  <si>
    <r>
      <t xml:space="preserve">Économie </t>
    </r>
    <r>
      <rPr>
        <sz val="8"/>
        <color indexed="8"/>
        <rFont val="Arial"/>
        <family val="2"/>
      </rPr>
      <t>($)</t>
    </r>
  </si>
  <si>
    <r>
      <t xml:space="preserve">Réduction des émissions de GES estimée </t>
    </r>
    <r>
      <rPr>
        <sz val="8"/>
        <color indexed="8"/>
        <rFont val="Arial"/>
        <family val="2"/>
      </rPr>
      <t>(t/an)</t>
    </r>
  </si>
  <si>
    <t>Combustible à remplacer</t>
  </si>
  <si>
    <t>G- Projet</t>
  </si>
  <si>
    <t>Coût de l'énergie</t>
  </si>
  <si>
    <t>Type d'énergie</t>
  </si>
  <si>
    <r>
      <t xml:space="preserve">au </t>
    </r>
    <r>
      <rPr>
        <sz val="8"/>
        <color indexed="8"/>
        <rFont val="Arial"/>
        <family val="2"/>
      </rPr>
      <t>(aaaa-mm-jj)</t>
    </r>
  </si>
  <si>
    <r>
      <t xml:space="preserve">Période du </t>
    </r>
    <r>
      <rPr>
        <sz val="8"/>
        <color indexed="8"/>
        <rFont val="Arial"/>
        <family val="2"/>
      </rPr>
      <t>(aaaa-mm-jj)</t>
    </r>
  </si>
  <si>
    <t>F- Consommation annuelle d'énergie actuelle</t>
  </si>
  <si>
    <t>Production annuelle</t>
  </si>
  <si>
    <t>Code postal</t>
  </si>
  <si>
    <t>Ville, village ou municipalité</t>
  </si>
  <si>
    <r>
      <t xml:space="preserve">Adresse </t>
    </r>
    <r>
      <rPr>
        <sz val="8"/>
        <color indexed="8"/>
        <rFont val="Arial"/>
        <family val="2"/>
      </rPr>
      <t>(numéro, rue)</t>
    </r>
  </si>
  <si>
    <r>
      <t xml:space="preserve">NEQ </t>
    </r>
    <r>
      <rPr>
        <sz val="8"/>
        <color indexed="8"/>
        <rFont val="Arial"/>
        <family val="2"/>
      </rPr>
      <t>(si applicable)</t>
    </r>
  </si>
  <si>
    <t>Nom du site</t>
  </si>
  <si>
    <t xml:space="preserve">E- Site       </t>
  </si>
  <si>
    <t>Adresse courriel</t>
  </si>
  <si>
    <t>Nom de l'entreprise</t>
  </si>
  <si>
    <t>Prénom</t>
  </si>
  <si>
    <t>D- Électricien</t>
  </si>
  <si>
    <t>Correspondant principal avec le ministère</t>
  </si>
  <si>
    <t>C- Représentant administratif</t>
  </si>
  <si>
    <t>B- Signataire autorisé</t>
  </si>
  <si>
    <r>
      <t xml:space="preserve">Important : </t>
    </r>
    <r>
      <rPr>
        <sz val="10"/>
        <rFont val="Arial"/>
        <family val="2"/>
      </rPr>
      <t xml:space="preserve">Veuillez lire l'onglet </t>
    </r>
    <r>
      <rPr>
        <b/>
        <u val="single"/>
        <sz val="10"/>
        <rFont val="Arial"/>
        <family val="2"/>
      </rPr>
      <t>Instructions</t>
    </r>
    <r>
      <rPr>
        <sz val="10"/>
        <rFont val="Arial"/>
        <family val="2"/>
      </rPr>
      <t xml:space="preserve"> et consultez le </t>
    </r>
    <r>
      <rPr>
        <u val="single"/>
        <sz val="10"/>
        <color indexed="12"/>
        <rFont val="Arial"/>
        <family val="2"/>
      </rPr>
      <t>Guide du participant</t>
    </r>
    <r>
      <rPr>
        <sz val="10"/>
        <rFont val="Arial"/>
        <family val="2"/>
      </rPr>
      <t xml:space="preserve"> avant de remplir votre demande. Les</t>
    </r>
    <r>
      <rPr>
        <sz val="10"/>
        <rFont val="Calibri"/>
        <family val="2"/>
      </rPr>
      <t> </t>
    </r>
    <r>
      <rPr>
        <sz val="10"/>
        <rFont val="Arial"/>
        <family val="2"/>
      </rPr>
      <t>champs en surbrillance rouge sont</t>
    </r>
    <r>
      <rPr>
        <sz val="10"/>
        <rFont val="Calibri"/>
        <family val="2"/>
      </rPr>
      <t> </t>
    </r>
    <r>
      <rPr>
        <sz val="10"/>
        <rFont val="Arial"/>
        <family val="2"/>
      </rPr>
      <t>obligatoires.</t>
    </r>
  </si>
  <si>
    <t>TOTAL DES COÛTS DU PROJET</t>
  </si>
  <si>
    <t>COÛTS ESTIMÉS</t>
  </si>
  <si>
    <t>Coûts</t>
  </si>
  <si>
    <t>N° de soumission ou
heures main-d’œuvre interne</t>
  </si>
  <si>
    <t>6. Justification des écarts ou précisions</t>
  </si>
  <si>
    <t>5. Coûts réels</t>
  </si>
  <si>
    <t>4. Facture</t>
  </si>
  <si>
    <t>3. Coûts estimés</t>
  </si>
  <si>
    <t>2. Description des biens/services achetés</t>
  </si>
  <si>
    <t>1. Nom du fournisseur</t>
  </si>
  <si>
    <r>
      <rPr>
        <b/>
        <sz val="10"/>
        <rFont val="Arial"/>
        <family val="2"/>
      </rPr>
      <t>Note :</t>
    </r>
    <r>
      <rPr>
        <sz val="10"/>
        <rFont val="Arial"/>
        <family val="2"/>
      </rPr>
      <t xml:space="preserve"> Veuillez remplir l'onglet </t>
    </r>
    <r>
      <rPr>
        <b/>
        <sz val="10"/>
        <rFont val="Arial"/>
        <family val="2"/>
      </rPr>
      <t>2. Rapport détaillé des coûts</t>
    </r>
    <r>
      <rPr>
        <sz val="10"/>
        <rFont val="Arial"/>
        <family val="2"/>
      </rPr>
      <t>.</t>
    </r>
  </si>
  <si>
    <t>Estimation pour l'électricien</t>
  </si>
  <si>
    <t>Mazout lourd (n° 4, 5 et 6)</t>
  </si>
  <si>
    <t>Mazout léger n° 2</t>
  </si>
  <si>
    <t>Énergie_réduit_bis et _ter</t>
  </si>
  <si>
    <t>(pour le "no" et le "[Sélectionner]")</t>
  </si>
  <si>
    <t>Consommation d'électricité correspondante (GJ)</t>
  </si>
  <si>
    <t>PourcentAide</t>
  </si>
  <si>
    <t>1. Si Microsoft bloque l’exécution des macros (bandeau rouge au haut de la page)</t>
  </si>
  <si>
    <t>5. Si vous effectuez du copier-coller à partir d'un autre document, il est important de copier uniquement les valeurs sélectionnées afin de ne pas modifier le format des cellules du présent formulaire.</t>
  </si>
  <si>
    <t>6. Remplissez les champs du formulaire en minuscules.</t>
  </si>
  <si>
    <t>A- Participant</t>
  </si>
  <si>
    <t>Description sommaire du participant</t>
  </si>
  <si>
    <t>Participant</t>
  </si>
  <si>
    <r>
      <t>Je déclare être dûment autorisé à prendre des engagements au nom du participant, d’avoir pris connaissance des exigences et</t>
    </r>
    <r>
      <rPr>
        <sz val="10"/>
        <color indexed="8"/>
        <rFont val="Calibri"/>
        <family val="2"/>
      </rPr>
      <t> </t>
    </r>
    <r>
      <rPr>
        <sz val="10"/>
        <color indexed="8"/>
        <rFont val="Arial"/>
        <family val="2"/>
      </rPr>
      <t>des conditions du programme pour lequel je demande une aide financière. Je reconnais que les renseignements contenus dans ce formulaire sont exacts. L’installation sera faite par du personnel qualifié et sera conforme aux lois et règlements en vigueur.</t>
    </r>
  </si>
  <si>
    <t>N° de facture</t>
  </si>
  <si>
    <t>›  Fermez le fichier et cliquez sur ce dernier avec le bouton droit de votre souris, puis, sélectionnez Propriétés;</t>
  </si>
  <si>
    <t>›  Cochez la case Débloquer à la sous-section Sécurité et cliquez sur Appliquer;</t>
  </si>
  <si>
    <t>›  Ouvrez le formulaire; l’exécution des macros sera maintenant possible.</t>
  </si>
  <si>
    <t>2. AVANT de remplir le formulaire, enregistrez-le sur votre ordinateur</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</si>
  <si>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</si>
  <si>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</si>
  <si>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t>3. Activez les macros du formulaire.</t>
  </si>
  <si>
    <t>4. Pour chacun des onglets, suivez l'ordre des étapes proposées.</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</si>
</sst>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00_)\ _$_ ;_ * \(#,##0.00\)\ _$_ ;_ * &quot;-&quot;??_)\ _$_ ;_ @_ "/>
    <numFmt numFmtId="165" formatCode="#,##0\ &quot;$&quot;"/>
    <numFmt numFmtId="166" formatCode="#,##0.0000"/>
    <numFmt numFmtId="167" formatCode="#,##0.0"/>
    <numFmt numFmtId="168" formatCode="#,##0.0000\ &quot;$&quot;"/>
    <numFmt numFmtId="169" formatCode="0.0%"/>
    <numFmt numFmtId="170" formatCode="\(###\)\ ###\-####"/>
    <numFmt numFmtId="171" formatCode="dd/mm/yyyy;@"/>
    <numFmt numFmtId="172" formatCode="yyyy\-mm\-dd;@"/>
    <numFmt numFmtId="173" formatCode="#,##0.00\ &quot;$&quot;"/>
    <numFmt numFmtId="174" formatCode="_ * #,##0.0000_)\ &quot;$&quot;_ ;_ * \(#,##0.0000\)\ &quot;$&quot;_ ;_ * &quot;-&quot;????_)\ &quot;$&quot;_ ;_ @_ "/>
    <numFmt numFmtId="175" formatCode="#,##0\ _$"/>
    <numFmt numFmtId="176" formatCode="[$-C0C]d\ mmmm\ yyyy"/>
  </numFmts>
  <fonts count="104">
    <font>
      <sz val="11"/>
      <color theme="1"/>
      <name val="Calibri"/>
      <family val="2"/>
    </font>
    <font>
      <sz val="11"/>
      <color indexed="8"/>
      <name val="Calibri"/>
      <family val="2"/>
    </font>
    <font>
      <sz val="8"/>
      <name val="Arial"/>
      <family val="2"/>
    </font>
    <font>
      <sz val="9"/>
      <name val="Arial"/>
      <family val="2"/>
    </font>
    <font>
      <sz val="7"/>
      <name val="Arial"/>
      <family val="2"/>
    </font>
    <font>
      <sz val="9"/>
      <color indexed="9"/>
      <name val="Arial"/>
      <family val="2"/>
    </font>
    <font>
      <sz val="10"/>
      <name val="Arial"/>
      <family val="2"/>
    </font>
    <font>
      <sz val="8"/>
      <color indexed="9"/>
      <name val="Arial"/>
      <family val="2"/>
    </font>
    <font>
      <sz val="10"/>
      <color indexed="9"/>
      <name val="Arial"/>
      <family val="2"/>
    </font>
    <font>
      <b/>
      <sz val="10"/>
      <color indexed="16"/>
      <name val="Arial"/>
      <family val="2"/>
    </font>
    <font>
      <sz val="8"/>
      <color indexed="16"/>
      <name val="Arial"/>
      <family val="2"/>
    </font>
    <font>
      <u val="single"/>
      <sz val="10"/>
      <color indexed="12"/>
      <name val="Arial"/>
      <family val="2"/>
    </font>
    <font>
      <b/>
      <sz val="8"/>
      <color indexed="9"/>
      <name val="Arial"/>
      <family val="2"/>
    </font>
    <font>
      <b/>
      <sz val="8"/>
      <name val="Arial"/>
      <family val="2"/>
    </font>
    <font>
      <b/>
      <sz val="9"/>
      <name val="Arial"/>
      <family val="2"/>
    </font>
    <font>
      <b/>
      <sz val="7"/>
      <name val="Arial"/>
      <family val="2"/>
    </font>
    <font>
      <i/>
      <sz val="8"/>
      <name val="Arial"/>
      <family val="2"/>
    </font>
    <font>
      <i/>
      <sz val="9"/>
      <name val="Arial"/>
      <family val="2"/>
    </font>
    <font>
      <sz val="10"/>
      <color indexed="8"/>
      <name val="Arial"/>
      <family val="2"/>
    </font>
    <font>
      <vertAlign val="superscript"/>
      <sz val="10"/>
      <color indexed="8"/>
      <name val="Arial"/>
      <family val="2"/>
    </font>
    <font>
      <sz val="8"/>
      <color indexed="8"/>
      <name val="Arial"/>
      <family val="2"/>
    </font>
    <font>
      <b/>
      <sz val="12"/>
      <name val="Arial"/>
      <family val="2"/>
    </font>
    <font>
      <u val="single"/>
      <sz val="8"/>
      <name val="Arial"/>
      <family val="2"/>
    </font>
    <font>
      <vertAlign val="superscript"/>
      <sz val="7"/>
      <name val="Arial"/>
      <family val="2"/>
    </font>
    <font>
      <sz val="7"/>
      <color indexed="9"/>
      <name val="Arial"/>
      <family val="2"/>
    </font>
    <font>
      <b/>
      <sz val="10"/>
      <name val="Arial"/>
      <family val="2"/>
    </font>
    <font>
      <b/>
      <sz val="11"/>
      <name val="Arial"/>
      <family val="2"/>
    </font>
    <font>
      <b/>
      <sz val="18"/>
      <name val="Arial"/>
      <family val="2"/>
    </font>
    <font>
      <b/>
      <sz val="20"/>
      <name val="Arial"/>
      <family val="2"/>
    </font>
    <font>
      <sz val="16"/>
      <name val="Chaloult_Cond_Demi_Gras"/>
      <family val="0"/>
    </font>
    <font>
      <sz val="11"/>
      <name val="Arial"/>
      <family val="2"/>
    </font>
    <font>
      <b/>
      <sz val="10"/>
      <color indexed="8"/>
      <name val="Arial"/>
      <family val="2"/>
    </font>
    <font>
      <sz val="10"/>
      <color indexed="8"/>
      <name val="Calibri"/>
      <family val="2"/>
    </font>
    <font>
      <b/>
      <sz val="10"/>
      <color indexed="10"/>
      <name val="Arial"/>
      <family val="2"/>
    </font>
    <font>
      <b/>
      <u val="single"/>
      <sz val="10"/>
      <name val="Arial"/>
      <family val="2"/>
    </font>
    <font>
      <sz val="10"/>
      <color indexed="10"/>
      <name val="Arial"/>
      <family val="2"/>
    </font>
    <font>
      <sz val="10"/>
      <name val="Calibri"/>
      <family val="2"/>
    </font>
    <font>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3"/>
      <name val="Calibri"/>
      <family val="2"/>
    </font>
    <font>
      <sz val="11"/>
      <name val="Calibri"/>
      <family val="2"/>
    </font>
    <font>
      <sz val="7"/>
      <color indexed="8"/>
      <name val="Arial"/>
      <family val="2"/>
    </font>
    <font>
      <sz val="8"/>
      <color indexed="8"/>
      <name val="Calibri"/>
      <family val="2"/>
    </font>
    <font>
      <sz val="8"/>
      <color indexed="8"/>
      <name val="Arial Narrow"/>
      <family val="2"/>
    </font>
    <font>
      <b/>
      <sz val="8"/>
      <color indexed="8"/>
      <name val="Arial Narrow"/>
      <family val="2"/>
    </font>
    <font>
      <b/>
      <sz val="10"/>
      <color indexed="9"/>
      <name val="Arial"/>
      <family val="2"/>
    </font>
    <font>
      <sz val="16"/>
      <color indexed="8"/>
      <name val="Chaloult_Cond_Demi_Gras"/>
      <family val="0"/>
    </font>
    <font>
      <b/>
      <sz val="12"/>
      <color indexed="9"/>
      <name val="Arial"/>
      <family val="2"/>
    </font>
    <font>
      <b/>
      <sz val="16"/>
      <color indexed="8"/>
      <name val="Arial"/>
      <family val="2"/>
    </font>
    <font>
      <b/>
      <sz val="14"/>
      <color indexed="8"/>
      <name val="Calibri"/>
      <family val="2"/>
    </font>
    <font>
      <b/>
      <sz val="16.5"/>
      <color indexed="9"/>
      <name val="Arial"/>
      <family val="0"/>
    </font>
    <font>
      <b/>
      <sz val="14"/>
      <color indexed="9"/>
      <name val="Arial Narrow"/>
      <family val="0"/>
    </font>
    <font>
      <b/>
      <sz val="1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201F1E"/>
      <name val="Calibri"/>
      <family val="2"/>
    </font>
    <font>
      <sz val="7"/>
      <color theme="1"/>
      <name val="Arial"/>
      <family val="2"/>
    </font>
    <font>
      <sz val="8"/>
      <color theme="1"/>
      <name val="Calibri"/>
      <family val="2"/>
    </font>
    <font>
      <sz val="10"/>
      <color theme="1"/>
      <name val="Arial"/>
      <family val="2"/>
    </font>
    <font>
      <sz val="8"/>
      <color theme="1"/>
      <name val="Arial Narrow"/>
      <family val="2"/>
    </font>
    <font>
      <b/>
      <sz val="8"/>
      <color theme="1"/>
      <name val="Arial Narrow"/>
      <family val="2"/>
    </font>
    <font>
      <b/>
      <sz val="10"/>
      <color theme="1"/>
      <name val="Arial"/>
      <family val="2"/>
    </font>
    <font>
      <b/>
      <sz val="10"/>
      <color theme="0"/>
      <name val="Arial"/>
      <family val="2"/>
    </font>
    <font>
      <sz val="16"/>
      <color theme="1"/>
      <name val="Chaloult_Cond_Demi_Gras"/>
      <family val="0"/>
    </font>
    <font>
      <sz val="10"/>
      <color rgb="FFFF0000"/>
      <name val="Arial"/>
      <family val="2"/>
    </font>
    <font>
      <b/>
      <sz val="12"/>
      <color theme="0"/>
      <name val="Arial"/>
      <family val="2"/>
    </font>
    <font>
      <b/>
      <sz val="16"/>
      <color theme="1"/>
      <name val="Arial"/>
      <family val="2"/>
    </font>
    <font>
      <sz val="8"/>
      <color theme="1"/>
      <name val="Arial"/>
      <family val="2"/>
    </font>
    <font>
      <b/>
      <sz val="10"/>
      <color rgb="FFFF0000"/>
      <name val="Arial"/>
      <family val="2"/>
    </font>
    <font>
      <b/>
      <sz val="14"/>
      <color theme="1"/>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0" tint="-0.3499799966812134"/>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rgb="FF1C829A"/>
        <bgColor indexed="64"/>
      </patternFill>
    </fill>
    <fill>
      <patternFill patternType="solid">
        <fgColor rgb="FF7FB7CB"/>
        <bgColor indexed="64"/>
      </patternFill>
    </fill>
    <fill>
      <patternFill patternType="solid">
        <fgColor rgb="FF9AC6D6"/>
        <bgColor indexed="64"/>
      </patternFill>
    </fill>
    <fill>
      <patternFill patternType="solid">
        <fgColor rgb="FFD2DADC"/>
        <bgColor indexed="64"/>
      </patternFill>
    </fill>
    <fill>
      <patternFill patternType="solid">
        <fgColor rgb="FFFFDDDD"/>
        <bgColor indexed="64"/>
      </patternFill>
    </fill>
    <fill>
      <patternFill patternType="solid">
        <fgColor rgb="FFEDF0F3"/>
        <bgColor indexed="64"/>
      </patternFill>
    </fill>
    <fill>
      <patternFill patternType="solid">
        <fgColor theme="0" tint="-0.24997000396251678"/>
        <bgColor indexed="64"/>
      </patternFill>
    </fill>
    <fill>
      <patternFill patternType="solid">
        <fgColor theme="1"/>
        <bgColor indexed="64"/>
      </patternFill>
    </fill>
    <fill>
      <patternFill patternType="solid">
        <fgColor rgb="FFC0C0C0"/>
        <bgColor indexed="64"/>
      </patternFill>
    </fill>
    <fill>
      <patternFill patternType="solid">
        <fgColor theme="0" tint="-0.24993999302387238"/>
        <bgColor indexed="64"/>
      </patternFill>
    </fill>
    <fill>
      <patternFill patternType="solid">
        <fgColor indexed="44"/>
        <bgColor indexed="64"/>
      </patternFill>
    </fill>
  </fills>
  <borders count="1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top style="medium"/>
      <bottom style="thin"/>
    </border>
    <border>
      <left/>
      <right style="medium"/>
      <top style="medium"/>
      <bottom/>
    </border>
    <border>
      <left style="medium"/>
      <right/>
      <top/>
      <bottom/>
    </border>
    <border>
      <left/>
      <right style="medium"/>
      <top/>
      <bottom/>
    </border>
    <border>
      <left style="medium"/>
      <right/>
      <top/>
      <bottom style="medium"/>
    </border>
    <border>
      <left style="thin"/>
      <right style="thin"/>
      <top style="thin"/>
      <bottom style="thin"/>
    </border>
    <border>
      <left/>
      <right/>
      <top/>
      <bottom style="medium"/>
    </border>
    <border>
      <left/>
      <right style="medium"/>
      <top/>
      <bottom style="medium"/>
    </border>
    <border>
      <left style="medium"/>
      <right style="thin"/>
      <top/>
      <bottom/>
    </border>
    <border>
      <left style="medium"/>
      <right style="medium"/>
      <top/>
      <bottom/>
    </border>
    <border>
      <left/>
      <right/>
      <top style="thin"/>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ck"/>
      <right/>
      <top/>
      <bottom/>
    </border>
    <border>
      <left style="thick"/>
      <right/>
      <top/>
      <bottom style="thick"/>
    </border>
    <border>
      <left/>
      <right/>
      <top/>
      <bottom style="thick"/>
    </border>
    <border>
      <left/>
      <right style="medium"/>
      <top/>
      <bottom style="thick"/>
    </border>
    <border>
      <left style="medium"/>
      <right/>
      <top/>
      <bottom style="thick"/>
    </border>
    <border>
      <left/>
      <right style="thick"/>
      <top/>
      <bottom/>
    </border>
    <border>
      <left/>
      <right style="thick"/>
      <top/>
      <bottom style="thick"/>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top style="thin">
        <color indexed="8"/>
      </top>
      <bottom style="thin">
        <color indexed="8"/>
      </bottom>
    </border>
    <border>
      <left style="thin">
        <color indexed="22"/>
      </left>
      <right/>
      <top style="thin">
        <color indexed="22"/>
      </top>
      <bottom style="thin">
        <color indexed="22"/>
      </bottom>
    </border>
    <border>
      <left/>
      <right style="thin">
        <color indexed="8"/>
      </right>
      <top style="thin">
        <color indexed="8"/>
      </top>
      <bottom style="thin">
        <color indexed="8"/>
      </bottom>
    </border>
    <border>
      <left/>
      <right style="thin">
        <color indexed="22"/>
      </right>
      <top style="thin">
        <color indexed="22"/>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8"/>
      </bottom>
    </border>
    <border>
      <left/>
      <right style="thin"/>
      <top style="thin"/>
      <bottom style="thin"/>
    </border>
    <border>
      <left style="thin"/>
      <right style="thin"/>
      <top style="double"/>
      <bottom style="thin"/>
    </border>
    <border>
      <left style="thin">
        <color indexed="8"/>
      </left>
      <right style="thin">
        <color indexed="8"/>
      </right>
      <top style="thin">
        <color indexed="8"/>
      </top>
      <bottom/>
    </border>
    <border>
      <left style="thin"/>
      <right style="thin"/>
      <top style="thin"/>
      <bottom style="thin">
        <color indexed="22"/>
      </bottom>
    </border>
    <border>
      <left style="double"/>
      <right>
        <color indexed="63"/>
      </right>
      <top>
        <color indexed="63"/>
      </top>
      <bottom style="medium"/>
    </border>
    <border>
      <left>
        <color indexed="63"/>
      </left>
      <right style="double"/>
      <top style="thin"/>
      <bottom style="medium"/>
    </border>
    <border>
      <left style="double"/>
      <right>
        <color indexed="63"/>
      </right>
      <top>
        <color indexed="63"/>
      </top>
      <bottom>
        <color indexed="63"/>
      </bottom>
    </border>
    <border>
      <left>
        <color indexed="63"/>
      </left>
      <right style="double"/>
      <top style="double"/>
      <bottom style="thin"/>
    </border>
    <border>
      <left>
        <color indexed="63"/>
      </left>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style="double"/>
      <right>
        <color indexed="63"/>
      </right>
      <top style="double"/>
      <bottom>
        <color indexed="63"/>
      </bottom>
    </border>
    <border>
      <left>
        <color indexed="63"/>
      </left>
      <right>
        <color indexed="63"/>
      </right>
      <top style="double"/>
      <bottom style="double"/>
    </border>
    <border>
      <left style="double"/>
      <right style="thin"/>
      <top style="double"/>
      <bottom style="double"/>
    </border>
    <border>
      <left>
        <color indexed="63"/>
      </left>
      <right style="double"/>
      <top style="double"/>
      <bottom style="double"/>
    </border>
    <border>
      <left style="thin"/>
      <right style="thin"/>
      <top style="double"/>
      <bottom style="double"/>
    </border>
    <border>
      <left>
        <color indexed="63"/>
      </left>
      <right style="thin"/>
      <top style="double"/>
      <bottom style="double"/>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style="thin"/>
      <top>
        <color indexed="63"/>
      </top>
      <bottom style="thin"/>
    </border>
    <border>
      <left style="thin"/>
      <right style="double"/>
      <top>
        <color indexed="63"/>
      </top>
      <bottom style="thin"/>
    </border>
    <border>
      <left style="medium"/>
      <right>
        <color indexed="63"/>
      </right>
      <top>
        <color indexed="63"/>
      </top>
      <bottom style="thin"/>
    </border>
    <border>
      <left style="thin"/>
      <right style="double"/>
      <top style="thin"/>
      <bottom>
        <color indexed="63"/>
      </bottom>
    </border>
    <border>
      <left style="thin"/>
      <right style="thin"/>
      <top>
        <color indexed="63"/>
      </top>
      <bottom style="double"/>
    </border>
    <border>
      <left style="double"/>
      <right style="thin"/>
      <top style="thin"/>
      <bottom style="thin"/>
    </border>
    <border>
      <left style="thin"/>
      <right style="double"/>
      <top style="thin"/>
      <bottom style="thin"/>
    </border>
    <border>
      <left style="medium"/>
      <right style="medium"/>
      <top style="medium"/>
      <bottom style="medium"/>
    </border>
    <border>
      <left style="medium"/>
      <right style="double"/>
      <top style="medium"/>
      <bottom style="medium"/>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style="thin">
        <color rgb="FF1C829A"/>
      </left>
      <right style="thin">
        <color rgb="FF1C829A"/>
      </right>
      <top style="thin">
        <color rgb="FF1C829A"/>
      </top>
      <bottom style="thin">
        <color rgb="FF1C829A"/>
      </bottom>
    </border>
    <border>
      <left>
        <color indexed="63"/>
      </left>
      <right style="thin">
        <color rgb="FF1C829A"/>
      </right>
      <top style="thin">
        <color rgb="FF1C829A"/>
      </top>
      <bottom style="thin">
        <color rgb="FF1C829A"/>
      </bottom>
    </border>
    <border>
      <left style="thin">
        <color rgb="FF1C829A"/>
      </left>
      <right>
        <color indexed="63"/>
      </right>
      <top style="thin">
        <color rgb="FF1C829A"/>
      </top>
      <bottom style="thin">
        <color rgb="FF1C829A"/>
      </bottom>
    </border>
    <border>
      <left style="thin">
        <color rgb="FF1C829A"/>
      </left>
      <right style="thin">
        <color rgb="FF1C829A"/>
      </right>
      <top>
        <color indexed="63"/>
      </top>
      <bottom>
        <color indexed="63"/>
      </bottom>
    </border>
    <border>
      <left>
        <color indexed="63"/>
      </left>
      <right>
        <color indexed="63"/>
      </right>
      <top style="thin">
        <color rgb="FF1C829A"/>
      </top>
      <bottom style="thin">
        <color rgb="FF1C829A"/>
      </bottom>
    </border>
    <border>
      <left style="thin">
        <color rgb="FF1C829A"/>
      </left>
      <right style="thin">
        <color rgb="FF1C829A"/>
      </right>
      <top style="double">
        <color rgb="FF1C829A"/>
      </top>
      <bottom>
        <color indexed="63"/>
      </bottom>
    </border>
    <border>
      <left>
        <color indexed="63"/>
      </left>
      <right style="thin">
        <color rgb="FF1C829A"/>
      </right>
      <top style="double">
        <color rgb="FF1C829A"/>
      </top>
      <bottom style="thin">
        <color rgb="FF1C829A"/>
      </bottom>
    </border>
    <border>
      <left>
        <color indexed="63"/>
      </left>
      <right>
        <color indexed="63"/>
      </right>
      <top style="double">
        <color rgb="FF1C829A"/>
      </top>
      <bottom style="thin">
        <color rgb="FF1C829A"/>
      </bottom>
    </border>
    <border>
      <left style="thin">
        <color rgb="FF1C829A"/>
      </left>
      <right>
        <color indexed="63"/>
      </right>
      <top>
        <color indexed="63"/>
      </top>
      <bottom>
        <color indexed="63"/>
      </bottom>
    </border>
    <border>
      <left>
        <color indexed="63"/>
      </left>
      <right style="thin">
        <color rgb="FF1C829A"/>
      </right>
      <top style="double">
        <color rgb="FF1C829A"/>
      </top>
      <bottom>
        <color indexed="63"/>
      </bottom>
    </border>
    <border>
      <left>
        <color indexed="63"/>
      </left>
      <right>
        <color indexed="63"/>
      </right>
      <top style="double">
        <color rgb="FF1C829A"/>
      </top>
      <bottom>
        <color indexed="63"/>
      </bottom>
    </border>
    <border>
      <left style="thin">
        <color rgb="FF1C829A"/>
      </left>
      <right>
        <color indexed="63"/>
      </right>
      <top style="double">
        <color rgb="FF1C829A"/>
      </top>
      <bottom style="thin">
        <color rgb="FF1C829A"/>
      </bottom>
    </border>
    <border>
      <left style="thin">
        <color rgb="FF1C829A"/>
      </left>
      <right style="thin">
        <color rgb="FF1C829A"/>
      </right>
      <top style="double">
        <color rgb="FF1C829A"/>
      </top>
      <bottom style="thin">
        <color rgb="FF1C829A"/>
      </bottom>
    </border>
    <border>
      <left style="thin">
        <color rgb="FF1C829A"/>
      </left>
      <right style="thin">
        <color rgb="FF1C829A"/>
      </right>
      <top style="thin">
        <color rgb="FF1C829A"/>
      </top>
      <bottom>
        <color indexed="63"/>
      </bottom>
    </border>
    <border>
      <left style="medium"/>
      <right style="thin"/>
      <top style="thin"/>
      <bottom>
        <color indexed="63"/>
      </bottom>
    </border>
    <border>
      <left style="double"/>
      <right style="thin"/>
      <top style="thin"/>
      <bottom>
        <color indexed="63"/>
      </bottom>
    </border>
    <border>
      <left>
        <color indexed="63"/>
      </left>
      <right style="medium"/>
      <top style="thin"/>
      <bottom>
        <color indexed="63"/>
      </bottom>
    </border>
    <border>
      <left style="double"/>
      <right style="thin"/>
      <top>
        <color indexed="63"/>
      </top>
      <bottom style="double"/>
    </border>
    <border>
      <left>
        <color indexed="63"/>
      </left>
      <right style="medium">
        <color rgb="FF1C829A"/>
      </right>
      <top>
        <color indexed="63"/>
      </top>
      <bottom>
        <color indexed="63"/>
      </bottom>
    </border>
    <border>
      <left style="medium">
        <color rgb="FF1C829A"/>
      </left>
      <right>
        <color indexed="63"/>
      </right>
      <top>
        <color indexed="63"/>
      </top>
      <bottom>
        <color indexed="63"/>
      </bottom>
    </border>
    <border>
      <left style="medium">
        <color rgb="FF1C829A"/>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thin">
        <color rgb="FF1C829A"/>
      </left>
      <right>
        <color indexed="63"/>
      </right>
      <top>
        <color indexed="63"/>
      </top>
      <bottom style="thin">
        <color rgb="FF1C829A"/>
      </bottom>
    </border>
    <border>
      <left>
        <color indexed="63"/>
      </left>
      <right style="thin">
        <color rgb="FF1C829A"/>
      </right>
      <top>
        <color indexed="63"/>
      </top>
      <bottom style="thin">
        <color rgb="FF1C829A"/>
      </bottom>
    </border>
    <border>
      <left style="thin">
        <color rgb="FF1C829A"/>
      </left>
      <right style="thin">
        <color rgb="FF1C829A"/>
      </right>
      <top>
        <color indexed="63"/>
      </top>
      <bottom style="thin">
        <color rgb="FF1C829A"/>
      </bottom>
    </border>
    <border>
      <left style="thin">
        <color rgb="FF1C829A"/>
      </left>
      <right>
        <color indexed="63"/>
      </right>
      <top style="thin">
        <color rgb="FF1C829A"/>
      </top>
      <bottom>
        <color indexed="63"/>
      </bottom>
    </border>
    <border>
      <left>
        <color indexed="63"/>
      </left>
      <right style="thin">
        <color rgb="FF1C829A"/>
      </right>
      <top style="thin">
        <color rgb="FF1C829A"/>
      </top>
      <bottom>
        <color indexed="63"/>
      </bottom>
    </border>
    <border>
      <left>
        <color indexed="63"/>
      </left>
      <right style="thin">
        <color rgb="FF1C829A"/>
      </right>
      <top>
        <color indexed="63"/>
      </top>
      <bottom>
        <color indexed="63"/>
      </bottom>
    </border>
    <border>
      <left style="thin">
        <color rgb="FF1C829A"/>
      </left>
      <right>
        <color indexed="63"/>
      </right>
      <top>
        <color indexed="63"/>
      </top>
      <bottom style="double">
        <color rgb="FF1C829A"/>
      </bottom>
    </border>
    <border>
      <left>
        <color indexed="63"/>
      </left>
      <right>
        <color indexed="63"/>
      </right>
      <top>
        <color indexed="63"/>
      </top>
      <bottom style="double">
        <color rgb="FF1C829A"/>
      </bottom>
    </border>
    <border>
      <left>
        <color indexed="63"/>
      </left>
      <right style="thin">
        <color rgb="FF1C829A"/>
      </right>
      <top>
        <color indexed="63"/>
      </top>
      <bottom style="double">
        <color rgb="FF1C829A"/>
      </bottom>
    </border>
    <border>
      <left style="thin">
        <color rgb="FF1C829A"/>
      </left>
      <right>
        <color indexed="63"/>
      </right>
      <top style="double">
        <color rgb="FF1C829A"/>
      </top>
      <bottom>
        <color indexed="63"/>
      </bottom>
    </border>
    <border>
      <left style="medium"/>
      <right style="medium"/>
      <top style="medium"/>
      <bottom/>
    </border>
    <border>
      <left style="medium"/>
      <right style="medium"/>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thin"/>
      <bottom style="medium"/>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
      <left style="medium"/>
      <right/>
      <top style="thick"/>
      <bottom/>
    </border>
    <border>
      <left/>
      <right/>
      <top style="thick"/>
      <bottom/>
    </border>
    <border>
      <left/>
      <right style="medium"/>
      <top style="thick"/>
      <bottom/>
    </border>
    <border>
      <left style="thick"/>
      <right/>
      <top style="thick"/>
      <bottom/>
    </border>
    <border>
      <left/>
      <right style="thick"/>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78" fillId="2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8" fillId="0" borderId="0">
      <alignment/>
      <protection/>
    </xf>
    <xf numFmtId="0" fontId="18" fillId="0" borderId="0">
      <alignment/>
      <protection/>
    </xf>
    <xf numFmtId="0" fontId="18" fillId="0" borderId="0">
      <alignment/>
      <protection/>
    </xf>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980">
    <xf numFmtId="0" fontId="0" fillId="0" borderId="0" xfId="0" applyFont="1" applyAlignment="1">
      <alignment/>
    </xf>
    <xf numFmtId="0" fontId="3" fillId="33" borderId="0" xfId="0" applyFont="1" applyFill="1" applyAlignment="1" applyProtection="1">
      <alignment vertical="center"/>
      <protection/>
    </xf>
    <xf numFmtId="0" fontId="3" fillId="34" borderId="1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indent="1"/>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4" borderId="0" xfId="0" applyFont="1" applyFill="1" applyBorder="1" applyAlignment="1" applyProtection="1">
      <alignment horizontal="left" vertical="center" indent="1"/>
      <protection/>
    </xf>
    <xf numFmtId="0" fontId="3" fillId="34" borderId="0" xfId="0" applyFont="1" applyFill="1" applyBorder="1" applyAlignment="1" applyProtection="1">
      <alignment horizontal="left" vertical="center" indent="2"/>
      <protection/>
    </xf>
    <xf numFmtId="0" fontId="3" fillId="34" borderId="0" xfId="0" applyFont="1" applyFill="1" applyBorder="1" applyAlignment="1" applyProtection="1">
      <alignment horizontal="centerContinuous" vertical="center"/>
      <protection/>
    </xf>
    <xf numFmtId="0" fontId="3" fillId="34" borderId="14" xfId="0" applyFont="1" applyFill="1" applyBorder="1" applyAlignment="1" applyProtection="1">
      <alignment vertical="center"/>
      <protection/>
    </xf>
    <xf numFmtId="0" fontId="2" fillId="34" borderId="0" xfId="0" applyFont="1" applyFill="1" applyBorder="1" applyAlignment="1" applyProtection="1">
      <alignment horizontal="right" vertical="center"/>
      <protection/>
    </xf>
    <xf numFmtId="0" fontId="3" fillId="33" borderId="16"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0" xfId="0" applyFont="1" applyFill="1" applyBorder="1" applyAlignment="1" applyProtection="1">
      <alignment/>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left"/>
      <protection/>
    </xf>
    <xf numFmtId="0" fontId="3" fillId="33" borderId="14" xfId="0" applyFont="1" applyFill="1" applyBorder="1" applyAlignment="1" applyProtection="1">
      <alignment vertical="center"/>
      <protection/>
    </xf>
    <xf numFmtId="0" fontId="2" fillId="34" borderId="17" xfId="0" applyFont="1" applyFill="1" applyBorder="1" applyAlignment="1" applyProtection="1">
      <alignment horizontal="center" vertical="center"/>
      <protection locked="0"/>
    </xf>
    <xf numFmtId="0" fontId="3" fillId="34" borderId="18" xfId="0" applyFont="1" applyFill="1" applyBorder="1" applyAlignment="1" applyProtection="1">
      <alignment/>
      <protection/>
    </xf>
    <xf numFmtId="0" fontId="3" fillId="34" borderId="18" xfId="0" applyFont="1" applyFill="1" applyBorder="1" applyAlignment="1" applyProtection="1">
      <alignment horizontal="right"/>
      <protection/>
    </xf>
    <xf numFmtId="0" fontId="2" fillId="34" borderId="18" xfId="0" applyFont="1" applyFill="1" applyBorder="1" applyAlignment="1" applyProtection="1">
      <alignment/>
      <protection/>
    </xf>
    <xf numFmtId="0" fontId="3" fillId="34" borderId="18"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13" fillId="33" borderId="0" xfId="0" applyFont="1" applyFill="1" applyAlignment="1" applyProtection="1">
      <alignment vertical="center"/>
      <protection/>
    </xf>
    <xf numFmtId="0" fontId="2"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right"/>
      <protection/>
    </xf>
    <xf numFmtId="0" fontId="14" fillId="34" borderId="11"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0" fontId="3" fillId="34" borderId="2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13" fillId="34" borderId="11"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3" fillId="34" borderId="21" xfId="0" applyFont="1" applyFill="1" applyBorder="1" applyAlignment="1" applyProtection="1">
      <alignment vertical="center"/>
      <protection/>
    </xf>
    <xf numFmtId="49" fontId="13" fillId="0" borderId="14" xfId="0" applyNumberFormat="1" applyFont="1" applyFill="1" applyBorder="1" applyAlignment="1" applyProtection="1">
      <alignment/>
      <protection/>
    </xf>
    <xf numFmtId="0" fontId="2" fillId="34" borderId="2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4" borderId="0" xfId="0" applyFont="1" applyFill="1" applyBorder="1" applyAlignment="1" applyProtection="1">
      <alignment horizontal="right" vertical="center" indent="1"/>
      <protection/>
    </xf>
    <xf numFmtId="0" fontId="6" fillId="34" borderId="0" xfId="0" applyFont="1" applyFill="1" applyBorder="1" applyAlignment="1" applyProtection="1">
      <alignment horizontal="center" vertical="center"/>
      <protection/>
    </xf>
    <xf numFmtId="0" fontId="2" fillId="34" borderId="18" xfId="0" applyFont="1" applyFill="1" applyBorder="1" applyAlignment="1" applyProtection="1">
      <alignment vertical="center"/>
      <protection/>
    </xf>
    <xf numFmtId="0" fontId="18" fillId="0" borderId="23" xfId="56" applyFont="1" applyFill="1" applyBorder="1" applyAlignment="1">
      <alignment wrapText="1"/>
      <protection/>
    </xf>
    <xf numFmtId="0" fontId="18" fillId="35" borderId="0" xfId="56" applyFont="1" applyFill="1" applyBorder="1" applyAlignment="1">
      <alignment/>
      <protection/>
    </xf>
    <xf numFmtId="0" fontId="18" fillId="36" borderId="24" xfId="56" applyFont="1" applyFill="1" applyBorder="1" applyAlignment="1">
      <alignment horizontal="center"/>
      <protection/>
    </xf>
    <xf numFmtId="0" fontId="18" fillId="0" borderId="23" xfId="58" applyFont="1" applyFill="1" applyBorder="1" applyAlignment="1">
      <alignment wrapText="1"/>
      <protection/>
    </xf>
    <xf numFmtId="0" fontId="6" fillId="34" borderId="25" xfId="0" applyFont="1" applyFill="1" applyBorder="1" applyAlignment="1" applyProtection="1">
      <alignment vertical="center"/>
      <protection/>
    </xf>
    <xf numFmtId="0" fontId="0" fillId="0" borderId="0" xfId="0" applyBorder="1" applyAlignment="1">
      <alignment/>
    </xf>
    <xf numFmtId="0" fontId="0" fillId="0" borderId="14" xfId="0" applyBorder="1" applyAlignment="1">
      <alignment/>
    </xf>
    <xf numFmtId="0" fontId="88" fillId="0" borderId="0" xfId="0" applyFont="1" applyAlignment="1">
      <alignment vertical="center" wrapText="1"/>
    </xf>
    <xf numFmtId="0" fontId="57" fillId="0" borderId="0" xfId="0" applyFont="1" applyAlignment="1">
      <alignment/>
    </xf>
    <xf numFmtId="0" fontId="4" fillId="33" borderId="0" xfId="0" applyFont="1" applyFill="1" applyBorder="1" applyAlignment="1" applyProtection="1">
      <alignment vertical="center"/>
      <protection/>
    </xf>
    <xf numFmtId="0" fontId="2" fillId="34" borderId="0" xfId="0" applyFont="1" applyFill="1" applyBorder="1" applyAlignment="1" applyProtection="1">
      <alignment horizontal="center"/>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6" fillId="33"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9" fillId="34"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protection/>
    </xf>
    <xf numFmtId="0" fontId="2" fillId="34" borderId="0" xfId="0" applyFont="1" applyFill="1" applyBorder="1" applyAlignment="1" applyProtection="1">
      <alignment horizontal="center" vertical="center"/>
      <protection/>
    </xf>
    <xf numFmtId="0" fontId="15" fillId="34" borderId="11" xfId="0" applyFont="1" applyFill="1" applyBorder="1" applyAlignment="1" applyProtection="1">
      <alignment horizontal="left" vertical="center"/>
      <protection/>
    </xf>
    <xf numFmtId="0" fontId="8" fillId="33" borderId="0" xfId="0" applyFont="1" applyFill="1" applyBorder="1" applyAlignment="1" applyProtection="1">
      <alignment/>
      <protection/>
    </xf>
    <xf numFmtId="3" fontId="8" fillId="34" borderId="0" xfId="0" applyNumberFormat="1" applyFont="1" applyFill="1" applyBorder="1" applyAlignment="1" applyProtection="1">
      <alignment horizontal="center" vertical="center"/>
      <protection/>
    </xf>
    <xf numFmtId="0" fontId="6" fillId="33" borderId="18" xfId="0" applyFont="1" applyFill="1" applyBorder="1" applyAlignment="1" applyProtection="1">
      <alignment/>
      <protection/>
    </xf>
    <xf numFmtId="0" fontId="6" fillId="33" borderId="19" xfId="0" applyFont="1" applyFill="1" applyBorder="1" applyAlignment="1" applyProtection="1">
      <alignment/>
      <protection/>
    </xf>
    <xf numFmtId="0" fontId="13" fillId="33" borderId="0" xfId="0" applyFont="1" applyFill="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protection/>
    </xf>
    <xf numFmtId="0" fontId="6" fillId="0" borderId="15" xfId="0" applyFont="1" applyBorder="1" applyAlignment="1" applyProtection="1">
      <alignment/>
      <protection/>
    </xf>
    <xf numFmtId="0" fontId="4" fillId="33" borderId="0" xfId="0" applyFont="1" applyFill="1" applyBorder="1" applyAlignment="1" applyProtection="1">
      <alignment/>
      <protection/>
    </xf>
    <xf numFmtId="0" fontId="6" fillId="33" borderId="15" xfId="0" applyFont="1" applyFill="1" applyBorder="1" applyAlignment="1" applyProtection="1">
      <alignment/>
      <protection/>
    </xf>
    <xf numFmtId="0" fontId="89" fillId="33" borderId="0" xfId="0" applyFont="1" applyFill="1" applyBorder="1" applyAlignment="1" applyProtection="1">
      <alignment/>
      <protection/>
    </xf>
    <xf numFmtId="0" fontId="6" fillId="0" borderId="18" xfId="0" applyFont="1" applyBorder="1" applyAlignment="1" applyProtection="1">
      <alignmen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14" fillId="33" borderId="0" xfId="0" applyFont="1" applyFill="1" applyAlignment="1" applyProtection="1">
      <alignment/>
      <protection/>
    </xf>
    <xf numFmtId="0" fontId="2" fillId="33" borderId="0" xfId="0" applyFont="1" applyFill="1" applyAlignment="1" applyProtection="1">
      <alignment/>
      <protection/>
    </xf>
    <xf numFmtId="0" fontId="0" fillId="33" borderId="18" xfId="0" applyFill="1" applyBorder="1" applyAlignment="1" applyProtection="1">
      <alignment/>
      <protection/>
    </xf>
    <xf numFmtId="165" fontId="2" fillId="33" borderId="0" xfId="0" applyNumberFormat="1" applyFont="1" applyFill="1" applyBorder="1" applyAlignment="1" applyProtection="1">
      <alignment vertical="center"/>
      <protection/>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3" fillId="33"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2"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indent="1"/>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indent="2"/>
      <protection/>
    </xf>
    <xf numFmtId="0" fontId="3"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18" fillId="35" borderId="0" xfId="56" applyFont="1" applyFill="1" applyBorder="1" applyAlignment="1">
      <alignment/>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Alignment="1" applyProtection="1">
      <alignment/>
      <protection/>
    </xf>
    <xf numFmtId="0" fontId="2" fillId="33" borderId="0" xfId="0" applyFont="1" applyFill="1" applyBorder="1" applyAlignment="1" applyProtection="1">
      <alignment/>
      <protection/>
    </xf>
    <xf numFmtId="0" fontId="0" fillId="33" borderId="0" xfId="0" applyFill="1" applyAlignment="1" applyProtection="1">
      <alignment wrapText="1"/>
      <protection/>
    </xf>
    <xf numFmtId="14" fontId="0" fillId="0" borderId="29" xfId="0" applyNumberFormat="1" applyBorder="1" applyAlignment="1">
      <alignment/>
    </xf>
    <xf numFmtId="0" fontId="0" fillId="0" borderId="30" xfId="0" applyNumberFormat="1" applyBorder="1" applyAlignment="1">
      <alignment/>
    </xf>
    <xf numFmtId="0" fontId="90" fillId="33" borderId="0" xfId="0" applyFont="1" applyFill="1" applyAlignment="1" applyProtection="1">
      <alignment/>
      <protection/>
    </xf>
    <xf numFmtId="0" fontId="90" fillId="0" borderId="0" xfId="0" applyFont="1" applyAlignment="1" applyProtection="1">
      <alignment/>
      <protection/>
    </xf>
    <xf numFmtId="0" fontId="0" fillId="0" borderId="31" xfId="0" applyBorder="1" applyAlignment="1">
      <alignment/>
    </xf>
    <xf numFmtId="0" fontId="0" fillId="0" borderId="32" xfId="0" applyBorder="1" applyAlignment="1">
      <alignment/>
    </xf>
    <xf numFmtId="9" fontId="0" fillId="0" borderId="28" xfId="47" applyNumberFormat="1" applyFont="1" applyBorder="1" applyAlignment="1">
      <alignment/>
    </xf>
    <xf numFmtId="0" fontId="0" fillId="0" borderId="0" xfId="0" applyAlignment="1" quotePrefix="1">
      <alignment/>
    </xf>
    <xf numFmtId="0" fontId="6" fillId="37" borderId="0" xfId="0" applyFont="1" applyFill="1" applyAlignment="1">
      <alignment/>
    </xf>
    <xf numFmtId="0" fontId="0" fillId="37" borderId="0" xfId="0" applyFill="1" applyAlignment="1">
      <alignment/>
    </xf>
    <xf numFmtId="0" fontId="0" fillId="0" borderId="0" xfId="0" applyAlignment="1" applyProtection="1">
      <alignment/>
      <protection locked="0"/>
    </xf>
    <xf numFmtId="0" fontId="0" fillId="0" borderId="0" xfId="0" applyAlignment="1" applyProtection="1" quotePrefix="1">
      <alignment/>
      <protection locked="0"/>
    </xf>
    <xf numFmtId="0" fontId="6" fillId="37" borderId="0" xfId="0" applyFont="1" applyFill="1" applyAlignment="1" applyProtection="1">
      <alignment/>
      <protection locked="0"/>
    </xf>
    <xf numFmtId="0" fontId="0" fillId="37" borderId="0" xfId="0" applyFill="1" applyAlignment="1" applyProtection="1">
      <alignment/>
      <protection locked="0"/>
    </xf>
    <xf numFmtId="172" fontId="0" fillId="0" borderId="0" xfId="0" applyNumberFormat="1" applyAlignment="1" applyProtection="1">
      <alignment/>
      <protection locked="0"/>
    </xf>
    <xf numFmtId="173" fontId="0" fillId="0" borderId="0" xfId="0" applyNumberFormat="1" applyAlignment="1" applyProtection="1">
      <alignment/>
      <protection locked="0"/>
    </xf>
    <xf numFmtId="0" fontId="18" fillId="38" borderId="24" xfId="58" applyFill="1" applyBorder="1" applyAlignment="1" applyProtection="1">
      <alignment horizontal="center"/>
      <protection locked="0"/>
    </xf>
    <xf numFmtId="0" fontId="18" fillId="0" borderId="23" xfId="58" applyBorder="1" applyAlignment="1">
      <alignment horizontal="right" wrapText="1"/>
      <protection/>
    </xf>
    <xf numFmtId="0" fontId="18" fillId="0" borderId="23" xfId="58" applyBorder="1" applyAlignment="1">
      <alignment wrapText="1"/>
      <protection/>
    </xf>
    <xf numFmtId="4" fontId="18" fillId="0" borderId="23" xfId="58" applyNumberFormat="1" applyBorder="1" applyAlignment="1" applyProtection="1">
      <alignment horizontal="right" wrapText="1"/>
      <protection locked="0"/>
    </xf>
    <xf numFmtId="0" fontId="18" fillId="0" borderId="23" xfId="58" applyBorder="1" applyAlignment="1" applyProtection="1">
      <alignment horizontal="right" wrapText="1"/>
      <protection locked="0"/>
    </xf>
    <xf numFmtId="0" fontId="18" fillId="0" borderId="23" xfId="58" applyBorder="1" applyAlignment="1" applyProtection="1">
      <alignment wrapText="1"/>
      <protection locked="0"/>
    </xf>
    <xf numFmtId="10" fontId="18" fillId="0" borderId="23" xfId="58" applyNumberFormat="1" applyBorder="1" applyAlignment="1" applyProtection="1">
      <alignment horizontal="right" wrapText="1"/>
      <protection locked="0"/>
    </xf>
    <xf numFmtId="166" fontId="2" fillId="33" borderId="0" xfId="0" applyNumberFormat="1" applyFont="1" applyFill="1" applyBorder="1" applyAlignment="1" applyProtection="1">
      <alignment horizontal="center" vertical="center"/>
      <protection/>
    </xf>
    <xf numFmtId="166" fontId="2" fillId="33" borderId="0" xfId="0" applyNumberFormat="1" applyFont="1" applyFill="1" applyBorder="1" applyAlignment="1" applyProtection="1">
      <alignment vertical="center"/>
      <protection/>
    </xf>
    <xf numFmtId="0" fontId="2" fillId="39" borderId="33" xfId="0" applyFont="1" applyFill="1" applyBorder="1" applyAlignment="1" applyProtection="1">
      <alignment vertical="center"/>
      <protection hidden="1"/>
    </xf>
    <xf numFmtId="0" fontId="2" fillId="39" borderId="34" xfId="0" applyFont="1" applyFill="1" applyBorder="1" applyAlignment="1" applyProtection="1">
      <alignment vertical="center"/>
      <protection hidden="1"/>
    </xf>
    <xf numFmtId="0" fontId="2" fillId="34" borderId="0" xfId="0" applyFont="1" applyFill="1" applyAlignment="1">
      <alignment vertical="center"/>
    </xf>
    <xf numFmtId="0" fontId="3" fillId="34" borderId="0" xfId="0" applyFont="1" applyFill="1" applyAlignment="1">
      <alignment vertical="center"/>
    </xf>
    <xf numFmtId="0" fontId="6" fillId="33" borderId="0" xfId="0" applyFont="1" applyFill="1" applyAlignment="1">
      <alignment/>
    </xf>
    <xf numFmtId="0" fontId="6" fillId="34" borderId="0" xfId="0" applyFont="1" applyFill="1" applyAlignment="1">
      <alignment horizontal="left" vertical="center"/>
    </xf>
    <xf numFmtId="0" fontId="2" fillId="34" borderId="0" xfId="0" applyFont="1" applyFill="1" applyAlignment="1">
      <alignment horizontal="left" vertical="center" indent="1"/>
    </xf>
    <xf numFmtId="0" fontId="2" fillId="34" borderId="0" xfId="0" applyFont="1" applyFill="1" applyAlignment="1">
      <alignment horizontal="right" vertical="center"/>
    </xf>
    <xf numFmtId="0" fontId="3" fillId="34" borderId="15" xfId="0" applyFont="1" applyFill="1" applyBorder="1" applyAlignment="1">
      <alignment vertical="center"/>
    </xf>
    <xf numFmtId="0" fontId="0" fillId="33" borderId="0" xfId="0" applyFill="1" applyAlignment="1">
      <alignment/>
    </xf>
    <xf numFmtId="0" fontId="6" fillId="34" borderId="0" xfId="0" applyFont="1" applyFill="1" applyAlignment="1">
      <alignment horizontal="center" vertical="center"/>
    </xf>
    <xf numFmtId="0" fontId="3" fillId="34" borderId="11" xfId="0" applyFont="1" applyFill="1" applyBorder="1" applyAlignment="1">
      <alignment vertical="center"/>
    </xf>
    <xf numFmtId="0" fontId="3" fillId="34" borderId="13" xfId="0" applyFont="1" applyFill="1" applyBorder="1" applyAlignment="1">
      <alignment vertical="center"/>
    </xf>
    <xf numFmtId="0" fontId="6" fillId="0" borderId="0" xfId="0" applyFont="1" applyAlignment="1">
      <alignment/>
    </xf>
    <xf numFmtId="0" fontId="9" fillId="34" borderId="0" xfId="0" applyFont="1" applyFill="1" applyAlignment="1">
      <alignment horizontal="center" vertical="center"/>
    </xf>
    <xf numFmtId="0" fontId="10" fillId="34" borderId="0" xfId="0" applyFont="1" applyFill="1" applyAlignment="1">
      <alignment horizontal="center"/>
    </xf>
    <xf numFmtId="0" fontId="6" fillId="34" borderId="0" xfId="0" applyFont="1" applyFill="1" applyAlignment="1">
      <alignment vertical="center"/>
    </xf>
    <xf numFmtId="0" fontId="3" fillId="34" borderId="0" xfId="0" applyFont="1" applyFill="1" applyAlignment="1">
      <alignment horizontal="left"/>
    </xf>
    <xf numFmtId="0" fontId="3" fillId="34" borderId="0" xfId="0" applyFont="1" applyFill="1" applyAlignment="1">
      <alignmen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Alignment="1">
      <alignment horizontal="center" vertical="center"/>
    </xf>
    <xf numFmtId="0" fontId="6" fillId="34" borderId="0" xfId="0" applyFont="1" applyFill="1" applyBorder="1" applyAlignment="1" applyProtection="1">
      <alignment vertical="top"/>
      <protection locked="0"/>
    </xf>
    <xf numFmtId="0" fontId="0" fillId="40" borderId="0" xfId="0" applyFill="1" applyAlignment="1" applyProtection="1">
      <alignment/>
      <protection locked="0"/>
    </xf>
    <xf numFmtId="0" fontId="0" fillId="40" borderId="0" xfId="0" applyFill="1" applyAlignment="1">
      <alignment/>
    </xf>
    <xf numFmtId="0" fontId="0" fillId="41" borderId="0" xfId="0" applyFill="1" applyAlignment="1">
      <alignment/>
    </xf>
    <xf numFmtId="0" fontId="0" fillId="41" borderId="0" xfId="0" applyFill="1" applyAlignment="1" applyProtection="1">
      <alignment/>
      <protection locked="0"/>
    </xf>
    <xf numFmtId="0" fontId="0" fillId="42" borderId="0" xfId="0" applyFill="1" applyAlignment="1">
      <alignment/>
    </xf>
    <xf numFmtId="0" fontId="0" fillId="42" borderId="0" xfId="0" applyFill="1" applyAlignment="1" applyProtection="1">
      <alignment/>
      <protection locked="0"/>
    </xf>
    <xf numFmtId="0" fontId="0" fillId="43" borderId="0" xfId="0" applyFill="1" applyAlignment="1" applyProtection="1">
      <alignment/>
      <protection locked="0"/>
    </xf>
    <xf numFmtId="0" fontId="0" fillId="43" borderId="0" xfId="0" applyFill="1" applyAlignment="1">
      <alignment/>
    </xf>
    <xf numFmtId="0" fontId="18" fillId="38" borderId="24" xfId="56" applyFill="1" applyBorder="1" applyAlignment="1">
      <alignment horizontal="center"/>
      <protection/>
    </xf>
    <xf numFmtId="0" fontId="18" fillId="38" borderId="0" xfId="56" applyFill="1" applyAlignment="1">
      <alignment horizontal="center"/>
      <protection/>
    </xf>
    <xf numFmtId="0" fontId="18" fillId="38" borderId="0" xfId="56" applyFill="1" applyAlignment="1">
      <alignment horizontal="left"/>
      <protection/>
    </xf>
    <xf numFmtId="0" fontId="0" fillId="0" borderId="0" xfId="0" applyAlignment="1">
      <alignment/>
    </xf>
    <xf numFmtId="0" fontId="18" fillId="0" borderId="23" xfId="56" applyBorder="1" applyAlignment="1">
      <alignment/>
      <protection/>
    </xf>
    <xf numFmtId="0" fontId="0" fillId="0" borderId="0" xfId="0" applyAlignment="1" quotePrefix="1">
      <alignment/>
    </xf>
    <xf numFmtId="0" fontId="0" fillId="40" borderId="0" xfId="0" applyFill="1" applyAlignment="1" applyProtection="1" quotePrefix="1">
      <alignment/>
      <protection locked="0"/>
    </xf>
    <xf numFmtId="0" fontId="6" fillId="0" borderId="34" xfId="0" applyFont="1" applyBorder="1" applyAlignment="1" applyProtection="1">
      <alignment vertical="center"/>
      <protection locked="0"/>
    </xf>
    <xf numFmtId="0" fontId="0" fillId="0" borderId="0" xfId="0" applyFill="1" applyAlignment="1" applyProtection="1">
      <alignment/>
      <protection locked="0"/>
    </xf>
    <xf numFmtId="0" fontId="0" fillId="0" borderId="0" xfId="0" applyFill="1" applyAlignment="1">
      <alignment/>
    </xf>
    <xf numFmtId="0" fontId="0" fillId="0" borderId="0" xfId="0" applyFill="1" applyAlignment="1" applyProtection="1" quotePrefix="1">
      <alignment/>
      <protection locked="0"/>
    </xf>
    <xf numFmtId="3" fontId="0" fillId="0" borderId="0" xfId="0" applyNumberFormat="1" applyFill="1" applyAlignment="1" applyProtection="1">
      <alignment/>
      <protection locked="0"/>
    </xf>
    <xf numFmtId="172" fontId="0" fillId="0" borderId="0" xfId="0" applyNumberFormat="1" applyFill="1" applyAlignment="1" applyProtection="1">
      <alignment/>
      <protection locked="0"/>
    </xf>
    <xf numFmtId="1" fontId="0" fillId="0" borderId="0" xfId="0" applyNumberFormat="1" applyFill="1" applyAlignment="1" applyProtection="1">
      <alignment/>
      <protection locked="0"/>
    </xf>
    <xf numFmtId="0" fontId="3" fillId="0" borderId="14" xfId="0" applyFont="1" applyFill="1" applyBorder="1" applyAlignment="1" applyProtection="1">
      <alignment vertical="center"/>
      <protection hidden="1" locked="0"/>
    </xf>
    <xf numFmtId="0" fontId="3" fillId="0" borderId="0" xfId="0" applyFont="1" applyFill="1" applyAlignment="1" applyProtection="1">
      <alignment vertical="center"/>
      <protection hidden="1" locked="0"/>
    </xf>
    <xf numFmtId="173" fontId="0" fillId="0" borderId="0" xfId="0" applyNumberFormat="1" applyFill="1" applyAlignment="1" applyProtection="1">
      <alignment/>
      <protection locked="0"/>
    </xf>
    <xf numFmtId="0" fontId="14" fillId="34" borderId="0" xfId="0" applyFont="1" applyFill="1" applyBorder="1" applyAlignment="1" applyProtection="1">
      <alignment vertical="center"/>
      <protection/>
    </xf>
    <xf numFmtId="0" fontId="15" fillId="34" borderId="0" xfId="0" applyFont="1" applyFill="1" applyBorder="1" applyAlignment="1" applyProtection="1">
      <alignment horizontal="left" vertical="center"/>
      <protection/>
    </xf>
    <xf numFmtId="0" fontId="57" fillId="0" borderId="0" xfId="0" applyFont="1" applyFill="1" applyAlignment="1">
      <alignment/>
    </xf>
    <xf numFmtId="171" fontId="0" fillId="0" borderId="0" xfId="0" applyNumberFormat="1" applyAlignment="1">
      <alignment/>
    </xf>
    <xf numFmtId="0" fontId="0" fillId="0" borderId="35" xfId="0" applyBorder="1" applyAlignment="1">
      <alignment/>
    </xf>
    <xf numFmtId="0" fontId="0" fillId="0" borderId="22" xfId="0" applyBorder="1" applyAlignment="1">
      <alignment/>
    </xf>
    <xf numFmtId="0" fontId="0" fillId="0" borderId="36" xfId="0" applyBorder="1" applyAlignment="1">
      <alignment/>
    </xf>
    <xf numFmtId="0" fontId="0" fillId="0" borderId="37" xfId="0" applyBorder="1" applyAlignment="1">
      <alignment/>
    </xf>
    <xf numFmtId="173" fontId="0" fillId="0" borderId="0"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25" xfId="0" applyBorder="1" applyAlignment="1">
      <alignment/>
    </xf>
    <xf numFmtId="173" fontId="0" fillId="0" borderId="25" xfId="0" applyNumberFormat="1" applyBorder="1" applyAlignment="1">
      <alignment/>
    </xf>
    <xf numFmtId="10" fontId="0" fillId="0" borderId="40" xfId="0" applyNumberFormat="1" applyBorder="1" applyAlignment="1">
      <alignment/>
    </xf>
    <xf numFmtId="0" fontId="2" fillId="39" borderId="17" xfId="0" applyFont="1" applyFill="1" applyBorder="1" applyAlignment="1" applyProtection="1">
      <alignment vertical="center"/>
      <protection hidden="1"/>
    </xf>
    <xf numFmtId="14" fontId="0" fillId="0" borderId="0" xfId="0" applyNumberFormat="1" applyBorder="1" applyAlignment="1">
      <alignment/>
    </xf>
    <xf numFmtId="3" fontId="0" fillId="0" borderId="0" xfId="0" applyNumberFormat="1" applyBorder="1" applyAlignment="1">
      <alignment/>
    </xf>
    <xf numFmtId="14" fontId="0" fillId="0" borderId="25" xfId="0" applyNumberFormat="1" applyBorder="1" applyAlignment="1">
      <alignment/>
    </xf>
    <xf numFmtId="3" fontId="0" fillId="0" borderId="25" xfId="0" applyNumberFormat="1" applyBorder="1" applyAlignment="1">
      <alignment/>
    </xf>
    <xf numFmtId="0" fontId="0" fillId="0" borderId="40" xfId="0" applyBorder="1" applyAlignment="1">
      <alignment/>
    </xf>
    <xf numFmtId="0" fontId="18" fillId="38" borderId="41" xfId="56" applyFill="1" applyBorder="1">
      <alignment/>
      <protection/>
    </xf>
    <xf numFmtId="0" fontId="0" fillId="0" borderId="42" xfId="0" applyBorder="1" applyAlignment="1">
      <alignment/>
    </xf>
    <xf numFmtId="0" fontId="0" fillId="0" borderId="43" xfId="0" applyBorder="1" applyAlignment="1">
      <alignment/>
    </xf>
    <xf numFmtId="173" fontId="0" fillId="0" borderId="38" xfId="0" applyNumberFormat="1" applyBorder="1" applyAlignment="1">
      <alignment/>
    </xf>
    <xf numFmtId="173" fontId="0" fillId="0" borderId="40" xfId="0" applyNumberFormat="1" applyBorder="1" applyAlignment="1">
      <alignment/>
    </xf>
    <xf numFmtId="0" fontId="1" fillId="38" borderId="24" xfId="57" applyFont="1" applyFill="1" applyBorder="1" applyAlignment="1">
      <alignment horizontal="center"/>
      <protection/>
    </xf>
    <xf numFmtId="0" fontId="1" fillId="0" borderId="23" xfId="57" applyFont="1" applyFill="1" applyBorder="1" applyAlignment="1">
      <alignment horizontal="right"/>
      <protection/>
    </xf>
    <xf numFmtId="0" fontId="1" fillId="0" borderId="23" xfId="57" applyFont="1" applyFill="1" applyBorder="1" applyAlignment="1">
      <alignment/>
      <protection/>
    </xf>
    <xf numFmtId="0" fontId="0" fillId="0" borderId="0" xfId="0" applyFill="1" applyBorder="1" applyAlignment="1">
      <alignment/>
    </xf>
    <xf numFmtId="173" fontId="0" fillId="0" borderId="0" xfId="0" applyNumberFormat="1" applyFill="1" applyBorder="1" applyAlignment="1">
      <alignment/>
    </xf>
    <xf numFmtId="173" fontId="0" fillId="0" borderId="38" xfId="0" applyNumberFormat="1" applyFill="1" applyBorder="1" applyAlignment="1">
      <alignment/>
    </xf>
    <xf numFmtId="10" fontId="0" fillId="0" borderId="38" xfId="0" applyNumberFormat="1" applyFill="1" applyBorder="1" applyAlignment="1">
      <alignment/>
    </xf>
    <xf numFmtId="0" fontId="1" fillId="38" borderId="44" xfId="57" applyFont="1" applyFill="1" applyBorder="1" applyAlignment="1">
      <alignment horizontal="center"/>
      <protection/>
    </xf>
    <xf numFmtId="0" fontId="1" fillId="0" borderId="45" xfId="57" applyFont="1" applyFill="1" applyBorder="1" applyAlignment="1">
      <alignment horizontal="right"/>
      <protection/>
    </xf>
    <xf numFmtId="0" fontId="1" fillId="38" borderId="46" xfId="57" applyFont="1" applyFill="1" applyBorder="1" applyAlignment="1">
      <alignment horizontal="center"/>
      <protection/>
    </xf>
    <xf numFmtId="0" fontId="1" fillId="0" borderId="47" xfId="57" applyFont="1" applyFill="1" applyBorder="1" applyAlignment="1">
      <alignment horizontal="right"/>
      <protection/>
    </xf>
    <xf numFmtId="0" fontId="1" fillId="0" borderId="48" xfId="57" applyFont="1" applyFill="1" applyBorder="1" applyAlignment="1">
      <alignment/>
      <protection/>
    </xf>
    <xf numFmtId="0" fontId="1" fillId="0" borderId="48" xfId="57" applyFont="1" applyFill="1" applyBorder="1" applyAlignment="1">
      <alignment/>
      <protection/>
    </xf>
    <xf numFmtId="0" fontId="1" fillId="0" borderId="49" xfId="57" applyFont="1" applyFill="1" applyBorder="1" applyAlignment="1">
      <alignment/>
      <protection/>
    </xf>
    <xf numFmtId="0" fontId="1" fillId="38" borderId="50" xfId="57" applyFont="1" applyFill="1" applyBorder="1" applyAlignment="1">
      <alignment horizontal="center"/>
      <protection/>
    </xf>
    <xf numFmtId="0" fontId="6" fillId="0" borderId="0" xfId="53">
      <alignment/>
      <protection/>
    </xf>
    <xf numFmtId="0" fontId="21" fillId="0" borderId="0" xfId="53" applyFont="1">
      <alignment/>
      <protection/>
    </xf>
    <xf numFmtId="0" fontId="3" fillId="0" borderId="0" xfId="53" applyFont="1">
      <alignment/>
      <protection/>
    </xf>
    <xf numFmtId="0" fontId="6" fillId="0" borderId="0" xfId="53" applyAlignment="1">
      <alignment horizontal="center"/>
      <protection/>
    </xf>
    <xf numFmtId="0" fontId="6" fillId="0" borderId="0" xfId="53" applyProtection="1">
      <alignment/>
      <protection locked="0"/>
    </xf>
    <xf numFmtId="0" fontId="2" fillId="0" borderId="0" xfId="53" applyFont="1" applyAlignment="1">
      <alignment horizontal="right"/>
      <protection/>
    </xf>
    <xf numFmtId="0" fontId="22" fillId="0" borderId="0" xfId="53" applyFont="1" applyAlignment="1" applyProtection="1">
      <alignment horizontal="left"/>
      <protection hidden="1"/>
    </xf>
    <xf numFmtId="0" fontId="2" fillId="0" borderId="0" xfId="53" applyFont="1">
      <alignment/>
      <protection/>
    </xf>
    <xf numFmtId="0" fontId="14" fillId="0" borderId="33" xfId="53" applyFont="1" applyBorder="1" applyAlignment="1" applyProtection="1">
      <alignment vertical="center"/>
      <protection hidden="1"/>
    </xf>
    <xf numFmtId="0" fontId="15" fillId="0" borderId="34" xfId="53" applyFont="1" applyBorder="1" applyAlignment="1" applyProtection="1">
      <alignment vertical="center"/>
      <protection hidden="1"/>
    </xf>
    <xf numFmtId="0" fontId="6" fillId="0" borderId="34" xfId="53" applyBorder="1" applyProtection="1">
      <alignment/>
      <protection hidden="1"/>
    </xf>
    <xf numFmtId="0" fontId="15" fillId="0" borderId="51" xfId="53" applyFont="1" applyBorder="1" applyAlignment="1" applyProtection="1">
      <alignment vertical="center"/>
      <protection hidden="1"/>
    </xf>
    <xf numFmtId="0" fontId="15" fillId="0" borderId="0" xfId="53" applyFont="1" applyAlignment="1" applyProtection="1">
      <alignment horizontal="center" vertical="center" wrapText="1"/>
      <protection hidden="1"/>
    </xf>
    <xf numFmtId="0" fontId="6" fillId="0" borderId="0" xfId="53" applyProtection="1">
      <alignment/>
      <protection hidden="1"/>
    </xf>
    <xf numFmtId="0" fontId="4" fillId="0" borderId="0" xfId="53" applyFont="1" applyAlignment="1" applyProtection="1">
      <alignment horizontal="center" vertical="center" textRotation="90" wrapText="1"/>
      <protection hidden="1"/>
    </xf>
    <xf numFmtId="0" fontId="4" fillId="0" borderId="17" xfId="53" applyFont="1" applyBorder="1" applyAlignment="1" applyProtection="1">
      <alignment horizontal="center"/>
      <protection locked="0"/>
    </xf>
    <xf numFmtId="0" fontId="4" fillId="0" borderId="17" xfId="53" applyFont="1" applyBorder="1" applyProtection="1">
      <alignment/>
      <protection locked="0"/>
    </xf>
    <xf numFmtId="0" fontId="4" fillId="44" borderId="17" xfId="53" applyFont="1" applyFill="1" applyBorder="1" applyAlignment="1" applyProtection="1">
      <alignment horizontal="center"/>
      <protection hidden="1"/>
    </xf>
    <xf numFmtId="9" fontId="4" fillId="44" borderId="17" xfId="53" applyNumberFormat="1" applyFont="1" applyFill="1" applyBorder="1" applyAlignment="1" applyProtection="1">
      <alignment horizontal="center"/>
      <protection locked="0"/>
    </xf>
    <xf numFmtId="3" fontId="4" fillId="0" borderId="17" xfId="53" applyNumberFormat="1" applyFont="1" applyBorder="1" applyAlignment="1" applyProtection="1">
      <alignment horizontal="center"/>
      <protection locked="0"/>
    </xf>
    <xf numFmtId="0" fontId="4" fillId="0" borderId="17" xfId="53" applyFont="1" applyBorder="1" applyAlignment="1" applyProtection="1">
      <alignment horizontal="left"/>
      <protection locked="0"/>
    </xf>
    <xf numFmtId="174" fontId="4" fillId="0" borderId="17" xfId="51" applyNumberFormat="1" applyFont="1" applyBorder="1" applyAlignment="1" applyProtection="1">
      <alignment horizontal="center"/>
      <protection locked="0"/>
    </xf>
    <xf numFmtId="3" fontId="4" fillId="0" borderId="17" xfId="51" applyNumberFormat="1" applyFont="1" applyBorder="1" applyAlignment="1" applyProtection="1">
      <alignment/>
      <protection locked="0"/>
    </xf>
    <xf numFmtId="3" fontId="4" fillId="44" borderId="17" xfId="53" applyNumberFormat="1" applyFont="1" applyFill="1" applyBorder="1" applyAlignment="1" applyProtection="1">
      <alignment horizontal="center"/>
      <protection hidden="1"/>
    </xf>
    <xf numFmtId="167" fontId="4" fillId="44" borderId="17" xfId="53" applyNumberFormat="1" applyFont="1" applyFill="1" applyBorder="1" applyAlignment="1" applyProtection="1">
      <alignment horizontal="center"/>
      <protection hidden="1"/>
    </xf>
    <xf numFmtId="175" fontId="4" fillId="0" borderId="17" xfId="51" applyNumberFormat="1" applyFont="1" applyBorder="1" applyAlignment="1" applyProtection="1">
      <alignment/>
      <protection locked="0"/>
    </xf>
    <xf numFmtId="175" fontId="4" fillId="0" borderId="17" xfId="51" applyNumberFormat="1" applyFont="1" applyFill="1" applyBorder="1" applyAlignment="1" applyProtection="1">
      <alignment/>
      <protection locked="0"/>
    </xf>
    <xf numFmtId="2" fontId="4" fillId="0" borderId="17" xfId="53" applyNumberFormat="1" applyFont="1" applyBorder="1" applyProtection="1">
      <alignment/>
      <protection locked="0"/>
    </xf>
    <xf numFmtId="3" fontId="4" fillId="0" borderId="17" xfId="53" applyNumberFormat="1" applyFont="1" applyBorder="1" applyProtection="1">
      <alignment/>
      <protection locked="0"/>
    </xf>
    <xf numFmtId="0" fontId="4" fillId="0" borderId="0" xfId="53" applyFont="1" applyProtection="1">
      <alignment/>
      <protection locked="0"/>
    </xf>
    <xf numFmtId="0" fontId="4" fillId="0" borderId="43" xfId="53" applyFont="1" applyBorder="1" applyProtection="1">
      <alignment/>
      <protection locked="0"/>
    </xf>
    <xf numFmtId="0" fontId="4" fillId="0" borderId="41" xfId="53" applyFont="1" applyBorder="1" applyAlignment="1" applyProtection="1">
      <alignment horizontal="center"/>
      <protection locked="0"/>
    </xf>
    <xf numFmtId="0" fontId="4" fillId="0" borderId="41" xfId="53" applyFont="1" applyBorder="1" applyProtection="1">
      <alignment/>
      <protection locked="0"/>
    </xf>
    <xf numFmtId="3" fontId="4" fillId="0" borderId="41" xfId="53" applyNumberFormat="1" applyFont="1" applyBorder="1" applyAlignment="1" applyProtection="1">
      <alignment horizontal="center"/>
      <protection locked="0"/>
    </xf>
    <xf numFmtId="0" fontId="4" fillId="0" borderId="41" xfId="53" applyFont="1" applyBorder="1" applyAlignment="1" applyProtection="1">
      <alignment horizontal="left"/>
      <protection locked="0"/>
    </xf>
    <xf numFmtId="174" fontId="4" fillId="0" borderId="41" xfId="51" applyNumberFormat="1" applyFont="1" applyBorder="1" applyAlignment="1" applyProtection="1">
      <alignment horizontal="center"/>
      <protection locked="0"/>
    </xf>
    <xf numFmtId="3" fontId="4" fillId="0" borderId="41" xfId="51" applyNumberFormat="1" applyFont="1" applyBorder="1" applyAlignment="1" applyProtection="1">
      <alignment/>
      <protection locked="0"/>
    </xf>
    <xf numFmtId="175" fontId="4" fillId="0" borderId="41" xfId="51" applyNumberFormat="1" applyFont="1" applyBorder="1" applyAlignment="1" applyProtection="1">
      <alignment/>
      <protection locked="0"/>
    </xf>
    <xf numFmtId="2" fontId="4" fillId="0" borderId="41" xfId="53" applyNumberFormat="1" applyFont="1" applyBorder="1" applyProtection="1">
      <alignment/>
      <protection locked="0"/>
    </xf>
    <xf numFmtId="3" fontId="4" fillId="0" borderId="41" xfId="53" applyNumberFormat="1" applyFont="1" applyBorder="1" applyProtection="1">
      <alignment/>
      <protection locked="0"/>
    </xf>
    <xf numFmtId="0" fontId="15" fillId="45" borderId="52" xfId="53" applyFont="1" applyFill="1" applyBorder="1" applyAlignment="1">
      <alignment horizontal="center" vertical="center"/>
      <protection/>
    </xf>
    <xf numFmtId="0" fontId="4" fillId="46" borderId="52" xfId="53" applyFont="1" applyFill="1" applyBorder="1">
      <alignment/>
      <protection/>
    </xf>
    <xf numFmtId="0" fontId="15" fillId="0" borderId="52" xfId="53" applyFont="1" applyBorder="1" applyAlignment="1">
      <alignment horizontal="center" vertical="center"/>
      <protection/>
    </xf>
    <xf numFmtId="0" fontId="4" fillId="46" borderId="52" xfId="53" applyFont="1" applyFill="1" applyBorder="1" applyProtection="1">
      <alignment/>
      <protection hidden="1"/>
    </xf>
    <xf numFmtId="42" fontId="4" fillId="46"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horizontal="center"/>
      <protection hidden="1"/>
    </xf>
    <xf numFmtId="167" fontId="4" fillId="44" borderId="52" xfId="51" applyNumberFormat="1" applyFont="1" applyFill="1" applyBorder="1" applyAlignment="1" applyProtection="1">
      <alignment horizontal="center"/>
      <protection hidden="1"/>
    </xf>
    <xf numFmtId="175" fontId="4" fillId="44" borderId="52" xfId="51" applyNumberFormat="1" applyFont="1" applyFill="1" applyBorder="1" applyAlignment="1" applyProtection="1">
      <alignment/>
      <protection hidden="1"/>
    </xf>
    <xf numFmtId="0" fontId="4" fillId="46" borderId="52" xfId="53" applyFont="1" applyFill="1" applyBorder="1" applyAlignment="1">
      <alignment horizontal="center"/>
      <protection/>
    </xf>
    <xf numFmtId="0" fontId="24" fillId="46" borderId="52" xfId="53" applyFont="1" applyFill="1" applyBorder="1">
      <alignment/>
      <protection/>
    </xf>
    <xf numFmtId="0" fontId="4" fillId="46" borderId="0" xfId="53" applyFont="1" applyFill="1">
      <alignment/>
      <protection/>
    </xf>
    <xf numFmtId="0" fontId="15" fillId="0" borderId="0" xfId="53" applyFont="1" applyAlignment="1">
      <alignment horizontal="center" vertical="center"/>
      <protection/>
    </xf>
    <xf numFmtId="0" fontId="4" fillId="0" borderId="0" xfId="53" applyFont="1">
      <alignment/>
      <protection/>
    </xf>
    <xf numFmtId="0" fontId="4" fillId="0" borderId="0" xfId="53" applyFont="1" applyProtection="1">
      <alignment/>
      <protection hidden="1"/>
    </xf>
    <xf numFmtId="42" fontId="4" fillId="0" borderId="0" xfId="51" applyNumberFormat="1" applyFont="1" applyFill="1" applyBorder="1" applyAlignment="1" applyProtection="1">
      <alignment/>
      <protection hidden="1"/>
    </xf>
    <xf numFmtId="3" fontId="4" fillId="0" borderId="0" xfId="51" applyNumberFormat="1" applyFont="1" applyFill="1" applyBorder="1" applyAlignment="1" applyProtection="1">
      <alignment horizontal="center"/>
      <protection hidden="1"/>
    </xf>
    <xf numFmtId="167" fontId="4" fillId="0" borderId="0" xfId="51" applyNumberFormat="1" applyFont="1" applyFill="1" applyBorder="1" applyAlignment="1" applyProtection="1">
      <alignment horizontal="center"/>
      <protection hidden="1"/>
    </xf>
    <xf numFmtId="0" fontId="4" fillId="0" borderId="0" xfId="53" applyFont="1" applyAlignment="1">
      <alignment horizontal="center"/>
      <protection/>
    </xf>
    <xf numFmtId="0" fontId="24" fillId="0" borderId="0" xfId="53" applyFont="1">
      <alignment/>
      <protection/>
    </xf>
    <xf numFmtId="0" fontId="6" fillId="0" borderId="0" xfId="53" applyAlignment="1">
      <alignment horizontal="left" vertical="center"/>
      <protection/>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2" xfId="53" applyFont="1" applyBorder="1" applyAlignment="1" applyProtection="1">
      <alignment horizontal="center" vertical="center" textRotation="90" wrapText="1"/>
      <protection hidden="1"/>
    </xf>
    <xf numFmtId="0" fontId="6" fillId="0" borderId="39" xfId="53" applyBorder="1" applyAlignment="1" applyProtection="1">
      <alignment horizontal="center" vertical="center" wrapText="1"/>
      <protection hidden="1"/>
    </xf>
    <xf numFmtId="0" fontId="4" fillId="0" borderId="43" xfId="53" applyFont="1" applyBorder="1" applyAlignment="1" applyProtection="1">
      <alignment horizontal="center" vertical="center"/>
      <protection hidden="1"/>
    </xf>
    <xf numFmtId="0" fontId="6" fillId="0" borderId="43" xfId="53" applyBorder="1" applyAlignment="1" applyProtection="1">
      <alignment horizontal="center" vertical="center" textRotation="90" wrapText="1"/>
      <protection hidden="1"/>
    </xf>
    <xf numFmtId="0" fontId="4" fillId="0" borderId="43"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wrapText="1"/>
      <protection hidden="1"/>
    </xf>
    <xf numFmtId="0" fontId="13" fillId="34" borderId="0" xfId="0" applyFont="1" applyFill="1" applyAlignment="1">
      <alignment vertical="center"/>
    </xf>
    <xf numFmtId="0" fontId="0" fillId="0" borderId="41" xfId="0" applyBorder="1" applyAlignment="1">
      <alignment/>
    </xf>
    <xf numFmtId="0" fontId="4" fillId="40" borderId="17" xfId="53" applyFont="1" applyFill="1" applyBorder="1" applyAlignment="1" applyProtection="1">
      <alignment horizontal="center"/>
      <protection locked="0"/>
    </xf>
    <xf numFmtId="0" fontId="4" fillId="40" borderId="17" xfId="53" applyFont="1" applyFill="1" applyBorder="1" applyProtection="1">
      <alignment/>
      <protection locked="0"/>
    </xf>
    <xf numFmtId="2" fontId="4" fillId="40" borderId="17" xfId="53" applyNumberFormat="1" applyFont="1" applyFill="1" applyBorder="1" applyProtection="1">
      <alignment/>
      <protection locked="0"/>
    </xf>
    <xf numFmtId="3" fontId="4" fillId="40" borderId="17" xfId="53" applyNumberFormat="1" applyFont="1" applyFill="1" applyBorder="1" applyProtection="1">
      <alignment/>
      <protection locked="0"/>
    </xf>
    <xf numFmtId="0" fontId="6" fillId="40" borderId="0" xfId="53" applyFill="1">
      <alignment/>
      <protection/>
    </xf>
    <xf numFmtId="175" fontId="4" fillId="41" borderId="17" xfId="51" applyNumberFormat="1" applyFont="1" applyFill="1" applyBorder="1" applyAlignment="1" applyProtection="1">
      <alignment/>
      <protection locked="0"/>
    </xf>
    <xf numFmtId="0" fontId="0" fillId="0" borderId="0" xfId="0" applyBorder="1" applyAlignment="1" quotePrefix="1">
      <alignment/>
    </xf>
    <xf numFmtId="0" fontId="18" fillId="0" borderId="48" xfId="58" applyBorder="1" applyAlignment="1">
      <alignment wrapText="1"/>
      <protection/>
    </xf>
    <xf numFmtId="0" fontId="18" fillId="0" borderId="0" xfId="56" applyBorder="1" applyAlignment="1">
      <alignment/>
      <protection/>
    </xf>
    <xf numFmtId="0" fontId="18" fillId="38" borderId="24" xfId="58" applyFill="1" applyBorder="1" applyAlignment="1">
      <alignment horizontal="center"/>
      <protection/>
    </xf>
    <xf numFmtId="4" fontId="18" fillId="0" borderId="23" xfId="58" applyNumberFormat="1" applyBorder="1" applyAlignment="1">
      <alignment horizontal="right" wrapText="1"/>
      <protection/>
    </xf>
    <xf numFmtId="0" fontId="18" fillId="0" borderId="45" xfId="58" applyBorder="1" applyAlignment="1" applyProtection="1">
      <alignment horizontal="right" wrapText="1"/>
      <protection locked="0"/>
    </xf>
    <xf numFmtId="0" fontId="18" fillId="0" borderId="45" xfId="58" applyBorder="1" applyAlignment="1">
      <alignment horizontal="right" wrapText="1"/>
      <protection/>
    </xf>
    <xf numFmtId="0" fontId="18" fillId="38" borderId="53" xfId="58" applyFill="1" applyBorder="1" applyAlignment="1">
      <alignment horizontal="center"/>
      <protection/>
    </xf>
    <xf numFmtId="0" fontId="18" fillId="0" borderId="54" xfId="58" applyBorder="1" applyAlignment="1" applyProtection="1">
      <alignment wrapText="1"/>
      <protection locked="0"/>
    </xf>
    <xf numFmtId="0" fontId="18" fillId="0" borderId="48" xfId="58" applyBorder="1" applyAlignment="1" applyProtection="1">
      <alignment wrapText="1"/>
      <protection locked="0"/>
    </xf>
    <xf numFmtId="0" fontId="18" fillId="0" borderId="49" xfId="58" applyBorder="1" applyAlignment="1">
      <alignment wrapText="1"/>
      <protection/>
    </xf>
    <xf numFmtId="0" fontId="1" fillId="0" borderId="0" xfId="57" applyFont="1" applyFill="1" applyBorder="1" applyAlignment="1" quotePrefix="1">
      <alignment/>
      <protection/>
    </xf>
    <xf numFmtId="0" fontId="6" fillId="40" borderId="0" xfId="53" applyFill="1" quotePrefix="1">
      <alignment/>
      <protection/>
    </xf>
    <xf numFmtId="0" fontId="4" fillId="0" borderId="0" xfId="53" applyFont="1" applyFill="1" applyProtection="1">
      <alignment/>
      <protection locked="0"/>
    </xf>
    <xf numFmtId="0" fontId="6" fillId="0" borderId="0" xfId="53" applyFill="1">
      <alignment/>
      <protection/>
    </xf>
    <xf numFmtId="0" fontId="4" fillId="0" borderId="17" xfId="53" applyFont="1" applyFill="1" applyBorder="1" applyAlignment="1" applyProtection="1">
      <alignment horizontal="center"/>
      <protection locked="0"/>
    </xf>
    <xf numFmtId="0" fontId="4" fillId="0" borderId="17" xfId="53" applyFont="1" applyFill="1" applyBorder="1" applyProtection="1">
      <alignment/>
      <protection locked="0"/>
    </xf>
    <xf numFmtId="0" fontId="18" fillId="35" borderId="42" xfId="56" applyFont="1" applyFill="1" applyBorder="1" applyAlignment="1">
      <alignment/>
      <protection/>
    </xf>
    <xf numFmtId="4" fontId="4" fillId="41" borderId="17" xfId="53" applyNumberFormat="1" applyFont="1" applyFill="1" applyBorder="1" applyAlignment="1" applyProtection="1">
      <alignment horizontal="center"/>
      <protection locked="0"/>
    </xf>
    <xf numFmtId="0" fontId="4" fillId="41" borderId="17" xfId="53" applyFont="1" applyFill="1" applyBorder="1" applyAlignment="1" applyProtection="1">
      <alignment horizontal="center"/>
      <protection locked="0"/>
    </xf>
    <xf numFmtId="3" fontId="4" fillId="0" borderId="17" xfId="53" applyNumberFormat="1" applyFont="1" applyFill="1" applyBorder="1" applyAlignment="1" applyProtection="1">
      <alignment horizontal="center"/>
      <protection locked="0"/>
    </xf>
    <xf numFmtId="0" fontId="4" fillId="0" borderId="17" xfId="53" applyFont="1" applyFill="1" applyBorder="1" applyAlignment="1" applyProtection="1">
      <alignment horizontal="left"/>
      <protection locked="0"/>
    </xf>
    <xf numFmtId="174" fontId="4" fillId="0" borderId="17" xfId="51" applyNumberFormat="1" applyFont="1" applyFill="1" applyBorder="1" applyAlignment="1" applyProtection="1">
      <alignment horizontal="center"/>
      <protection locked="0"/>
    </xf>
    <xf numFmtId="3" fontId="4" fillId="0" borderId="17" xfId="51" applyNumberFormat="1" applyFont="1" applyFill="1" applyBorder="1" applyAlignment="1" applyProtection="1">
      <alignment/>
      <protection locked="0"/>
    </xf>
    <xf numFmtId="2" fontId="4" fillId="0" borderId="17" xfId="53" applyNumberFormat="1" applyFont="1" applyFill="1" applyBorder="1" applyProtection="1">
      <alignment/>
      <protection locked="0"/>
    </xf>
    <xf numFmtId="3" fontId="4" fillId="0" borderId="17" xfId="53" applyNumberFormat="1" applyFont="1" applyFill="1" applyBorder="1" applyProtection="1">
      <alignment/>
      <protection locked="0"/>
    </xf>
    <xf numFmtId="0" fontId="0" fillId="0" borderId="43" xfId="0" applyFill="1" applyBorder="1" applyAlignment="1">
      <alignment/>
    </xf>
    <xf numFmtId="0" fontId="0" fillId="0" borderId="41" xfId="0" applyNumberFormat="1" applyBorder="1" applyAlignment="1">
      <alignment/>
    </xf>
    <xf numFmtId="0" fontId="6" fillId="0" borderId="0" xfId="54" applyProtection="1">
      <alignment/>
      <protection hidden="1"/>
    </xf>
    <xf numFmtId="173" fontId="6" fillId="0" borderId="0" xfId="54" applyNumberFormat="1" applyProtection="1">
      <alignment/>
      <protection hidden="1"/>
    </xf>
    <xf numFmtId="14" fontId="6" fillId="0" borderId="0" xfId="54" applyNumberFormat="1" applyProtection="1">
      <alignment/>
      <protection hidden="1"/>
    </xf>
    <xf numFmtId="49" fontId="6" fillId="0" borderId="0" xfId="54" applyNumberFormat="1" applyProtection="1">
      <alignment/>
      <protection hidden="1"/>
    </xf>
    <xf numFmtId="0" fontId="6" fillId="0" borderId="0" xfId="54" applyAlignment="1" applyProtection="1">
      <alignment vertical="center" textRotation="90"/>
      <protection hidden="1"/>
    </xf>
    <xf numFmtId="0" fontId="6" fillId="44" borderId="19" xfId="54" applyFill="1" applyBorder="1" applyProtection="1">
      <alignment/>
      <protection hidden="1"/>
    </xf>
    <xf numFmtId="173" fontId="6" fillId="44" borderId="18" xfId="54" applyNumberFormat="1" applyFill="1" applyBorder="1" applyProtection="1">
      <alignment/>
      <protection hidden="1"/>
    </xf>
    <xf numFmtId="14" fontId="6" fillId="44" borderId="18" xfId="54" applyNumberFormat="1" applyFill="1" applyBorder="1" applyAlignment="1" applyProtection="1">
      <alignment horizontal="center"/>
      <protection hidden="1"/>
    </xf>
    <xf numFmtId="49" fontId="6" fillId="44" borderId="18" xfId="54" applyNumberFormat="1" applyFill="1" applyBorder="1" applyProtection="1">
      <alignment/>
      <protection hidden="1"/>
    </xf>
    <xf numFmtId="49" fontId="6" fillId="44" borderId="55" xfId="54" applyNumberFormat="1" applyFill="1" applyBorder="1" applyProtection="1">
      <alignment/>
      <protection hidden="1"/>
    </xf>
    <xf numFmtId="173" fontId="21" fillId="0" borderId="56" xfId="54" applyNumberFormat="1" applyFont="1" applyBorder="1" applyProtection="1">
      <alignment/>
      <protection hidden="1"/>
    </xf>
    <xf numFmtId="0" fontId="21" fillId="0" borderId="18" xfId="54" applyFont="1" applyBorder="1" applyAlignment="1" applyProtection="1">
      <alignment horizontal="right"/>
      <protection hidden="1"/>
    </xf>
    <xf numFmtId="0" fontId="6" fillId="44" borderId="15" xfId="54" applyFill="1" applyBorder="1" applyProtection="1">
      <alignment/>
      <protection hidden="1"/>
    </xf>
    <xf numFmtId="173" fontId="6" fillId="44" borderId="0" xfId="54" applyNumberFormat="1" applyFill="1" applyProtection="1">
      <alignment/>
      <protection hidden="1"/>
    </xf>
    <xf numFmtId="14" fontId="6" fillId="44" borderId="0" xfId="54" applyNumberFormat="1" applyFill="1" applyAlignment="1" applyProtection="1">
      <alignment horizontal="center"/>
      <protection hidden="1"/>
    </xf>
    <xf numFmtId="49" fontId="6" fillId="44" borderId="0" xfId="54" applyNumberFormat="1" applyFill="1" applyProtection="1">
      <alignment/>
      <protection hidden="1"/>
    </xf>
    <xf numFmtId="49" fontId="6" fillId="44" borderId="57" xfId="54" applyNumberFormat="1" applyFill="1" applyBorder="1" applyProtection="1">
      <alignment/>
      <protection hidden="1"/>
    </xf>
    <xf numFmtId="173" fontId="25" fillId="0" borderId="58" xfId="54" applyNumberFormat="1" applyFont="1" applyBorder="1" applyProtection="1">
      <alignment/>
      <protection hidden="1"/>
    </xf>
    <xf numFmtId="0" fontId="21" fillId="0" borderId="59" xfId="54" applyFont="1" applyBorder="1" applyProtection="1">
      <alignment/>
      <protection hidden="1"/>
    </xf>
    <xf numFmtId="0" fontId="21" fillId="0" borderId="60" xfId="54" applyFont="1" applyBorder="1" applyProtection="1">
      <alignment/>
      <protection hidden="1"/>
    </xf>
    <xf numFmtId="0" fontId="6" fillId="44" borderId="61" xfId="54" applyFill="1" applyBorder="1" applyProtection="1">
      <alignment/>
      <protection hidden="1"/>
    </xf>
    <xf numFmtId="173" fontId="6" fillId="44" borderId="59" xfId="54" applyNumberFormat="1" applyFill="1" applyBorder="1" applyProtection="1">
      <alignment/>
      <protection hidden="1"/>
    </xf>
    <xf numFmtId="14" fontId="6" fillId="44" borderId="59" xfId="54" applyNumberFormat="1" applyFill="1" applyBorder="1" applyAlignment="1" applyProtection="1">
      <alignment horizontal="center"/>
      <protection hidden="1"/>
    </xf>
    <xf numFmtId="49" fontId="6" fillId="44" borderId="59" xfId="54" applyNumberFormat="1" applyFill="1" applyBorder="1" applyProtection="1">
      <alignment/>
      <protection hidden="1"/>
    </xf>
    <xf numFmtId="49" fontId="6" fillId="44" borderId="62" xfId="54" applyNumberFormat="1" applyFill="1" applyBorder="1" applyProtection="1">
      <alignment/>
      <protection hidden="1"/>
    </xf>
    <xf numFmtId="173" fontId="25" fillId="0" borderId="63" xfId="54" applyNumberFormat="1" applyFont="1" applyBorder="1" applyProtection="1">
      <alignment/>
      <protection hidden="1"/>
    </xf>
    <xf numFmtId="173" fontId="25" fillId="0" borderId="64" xfId="54" applyNumberFormat="1" applyFont="1" applyBorder="1" applyProtection="1">
      <alignment/>
      <protection hidden="1"/>
    </xf>
    <xf numFmtId="173" fontId="25" fillId="0" borderId="65" xfId="54" applyNumberFormat="1" applyFont="1" applyBorder="1" applyProtection="1">
      <alignment/>
      <protection hidden="1"/>
    </xf>
    <xf numFmtId="173" fontId="25" fillId="0" borderId="66" xfId="54" applyNumberFormat="1" applyFont="1" applyBorder="1" applyProtection="1">
      <alignment/>
      <protection hidden="1"/>
    </xf>
    <xf numFmtId="0" fontId="26" fillId="0" borderId="67" xfId="54" applyFont="1" applyBorder="1" applyAlignment="1" applyProtection="1">
      <alignment horizontal="right"/>
      <protection hidden="1"/>
    </xf>
    <xf numFmtId="0" fontId="6" fillId="0" borderId="15" xfId="54" applyBorder="1" applyProtection="1">
      <alignment/>
      <protection hidden="1"/>
    </xf>
    <xf numFmtId="173" fontId="6" fillId="0" borderId="38" xfId="54" applyNumberFormat="1" applyBorder="1" applyProtection="1">
      <alignment/>
      <protection hidden="1"/>
    </xf>
    <xf numFmtId="14" fontId="6" fillId="0" borderId="42" xfId="54" applyNumberFormat="1" applyBorder="1" applyAlignment="1" applyProtection="1">
      <alignment horizontal="center"/>
      <protection hidden="1"/>
    </xf>
    <xf numFmtId="173" fontId="6" fillId="0" borderId="42" xfId="54" applyNumberFormat="1" applyBorder="1" applyProtection="1">
      <alignment/>
      <protection hidden="1"/>
    </xf>
    <xf numFmtId="49" fontId="6" fillId="0" borderId="68" xfId="54" applyNumberFormat="1" applyBorder="1" applyProtection="1">
      <alignment/>
      <protection hidden="1"/>
    </xf>
    <xf numFmtId="173" fontId="6" fillId="0" borderId="69" xfId="54" applyNumberFormat="1" applyBorder="1" applyProtection="1">
      <alignment/>
      <protection hidden="1"/>
    </xf>
    <xf numFmtId="173" fontId="6" fillId="0" borderId="37" xfId="54" applyNumberFormat="1" applyBorder="1" applyProtection="1">
      <alignment/>
      <protection hidden="1"/>
    </xf>
    <xf numFmtId="0" fontId="6" fillId="0" borderId="14" xfId="54" applyBorder="1" applyProtection="1">
      <alignment/>
      <protection hidden="1"/>
    </xf>
    <xf numFmtId="0" fontId="6" fillId="0" borderId="61" xfId="54" applyBorder="1" applyProtection="1">
      <alignment/>
      <protection hidden="1"/>
    </xf>
    <xf numFmtId="173" fontId="6" fillId="0" borderId="70" xfId="54" applyNumberFormat="1" applyBorder="1" applyProtection="1">
      <alignment/>
      <protection hidden="1"/>
    </xf>
    <xf numFmtId="14" fontId="6" fillId="0" borderId="70" xfId="54" applyNumberFormat="1" applyBorder="1" applyAlignment="1" applyProtection="1">
      <alignment horizontal="center"/>
      <protection hidden="1"/>
    </xf>
    <xf numFmtId="49" fontId="6" fillId="0" borderId="59" xfId="54" applyNumberFormat="1" applyBorder="1" applyProtection="1">
      <alignment/>
      <protection hidden="1"/>
    </xf>
    <xf numFmtId="49" fontId="6" fillId="0" borderId="71" xfId="54" applyNumberFormat="1" applyBorder="1" applyProtection="1">
      <alignment/>
      <protection hidden="1"/>
    </xf>
    <xf numFmtId="173" fontId="6" fillId="0" borderId="72" xfId="54" applyNumberFormat="1" applyBorder="1" applyProtection="1">
      <alignment/>
      <protection hidden="1"/>
    </xf>
    <xf numFmtId="173" fontId="6" fillId="0" borderId="73" xfId="54" applyNumberFormat="1" applyBorder="1" applyProtection="1">
      <alignment/>
      <protection hidden="1"/>
    </xf>
    <xf numFmtId="173" fontId="6" fillId="0" borderId="74" xfId="54" applyNumberFormat="1" applyBorder="1" applyProtection="1">
      <alignment/>
      <protection hidden="1"/>
    </xf>
    <xf numFmtId="0" fontId="6" fillId="0" borderId="59" xfId="54" applyBorder="1" applyProtection="1">
      <alignment/>
      <protection hidden="1"/>
    </xf>
    <xf numFmtId="0" fontId="6" fillId="0" borderId="60" xfId="54" applyBorder="1" applyProtection="1">
      <alignment/>
      <protection hidden="1"/>
    </xf>
    <xf numFmtId="173" fontId="6" fillId="0" borderId="75" xfId="54" applyNumberFormat="1" applyBorder="1" applyProtection="1">
      <alignment/>
      <protection hidden="1"/>
    </xf>
    <xf numFmtId="173" fontId="6" fillId="0" borderId="76" xfId="54" applyNumberFormat="1" applyBorder="1" applyProtection="1">
      <alignment/>
      <protection hidden="1"/>
    </xf>
    <xf numFmtId="173" fontId="6" fillId="0" borderId="40" xfId="54" applyNumberFormat="1" applyBorder="1" applyProtection="1">
      <alignment/>
      <protection hidden="1"/>
    </xf>
    <xf numFmtId="173" fontId="6" fillId="0" borderId="43" xfId="54" applyNumberFormat="1" applyBorder="1" applyProtection="1">
      <alignment/>
      <protection hidden="1"/>
    </xf>
    <xf numFmtId="49" fontId="6" fillId="0" borderId="77" xfId="54" applyNumberFormat="1" applyBorder="1" applyProtection="1">
      <alignment/>
      <protection hidden="1"/>
    </xf>
    <xf numFmtId="173" fontId="6" fillId="0" borderId="78" xfId="54" applyNumberFormat="1" applyBorder="1" applyProtection="1">
      <alignment/>
      <protection hidden="1"/>
    </xf>
    <xf numFmtId="0" fontId="6" fillId="0" borderId="79" xfId="54" applyBorder="1" applyProtection="1">
      <alignment/>
      <protection hidden="1"/>
    </xf>
    <xf numFmtId="173" fontId="6" fillId="0" borderId="80" xfId="54" applyNumberFormat="1" applyBorder="1" applyProtection="1">
      <alignment/>
      <protection hidden="1"/>
    </xf>
    <xf numFmtId="0" fontId="6" fillId="0" borderId="42" xfId="54" applyBorder="1" applyProtection="1">
      <alignment/>
      <protection hidden="1"/>
    </xf>
    <xf numFmtId="0" fontId="6" fillId="0" borderId="81" xfId="54" applyBorder="1" applyProtection="1">
      <alignment/>
      <protection hidden="1"/>
    </xf>
    <xf numFmtId="0" fontId="6" fillId="0" borderId="20" xfId="54" applyBorder="1" applyProtection="1">
      <alignment/>
      <protection hidden="1"/>
    </xf>
    <xf numFmtId="173" fontId="6" fillId="0" borderId="39" xfId="54" applyNumberFormat="1" applyBorder="1" applyProtection="1">
      <alignment/>
      <protection hidden="1"/>
    </xf>
    <xf numFmtId="0" fontId="6" fillId="0" borderId="43" xfId="54" applyBorder="1" applyProtection="1">
      <alignment/>
      <protection hidden="1"/>
    </xf>
    <xf numFmtId="173" fontId="6" fillId="0" borderId="17" xfId="54" applyNumberFormat="1" applyBorder="1" applyAlignment="1" applyProtection="1">
      <alignment horizontal="center"/>
      <protection hidden="1"/>
    </xf>
    <xf numFmtId="14" fontId="6" fillId="0" borderId="34" xfId="54" applyNumberFormat="1" applyBorder="1" applyAlignment="1" applyProtection="1">
      <alignment horizontal="center"/>
      <protection hidden="1"/>
    </xf>
    <xf numFmtId="49" fontId="6" fillId="0" borderId="17" xfId="54" applyNumberFormat="1" applyBorder="1" applyAlignment="1" applyProtection="1">
      <alignment horizontal="center"/>
      <protection hidden="1"/>
    </xf>
    <xf numFmtId="49" fontId="6" fillId="0" borderId="82" xfId="54" applyNumberFormat="1" applyBorder="1" applyAlignment="1" applyProtection="1">
      <alignment horizontal="center"/>
      <protection hidden="1"/>
    </xf>
    <xf numFmtId="173" fontId="6" fillId="0" borderId="33" xfId="54" applyNumberFormat="1" applyBorder="1" applyAlignment="1" applyProtection="1">
      <alignment horizontal="center"/>
      <protection hidden="1"/>
    </xf>
    <xf numFmtId="173" fontId="6" fillId="0" borderId="34" xfId="54" applyNumberFormat="1" applyBorder="1" applyAlignment="1" applyProtection="1">
      <alignment horizontal="center"/>
      <protection hidden="1"/>
    </xf>
    <xf numFmtId="173" fontId="6" fillId="0" borderId="17" xfId="54" applyNumberFormat="1" applyBorder="1" applyAlignment="1" applyProtection="1">
      <alignment horizontal="center" vertical="center"/>
      <protection hidden="1"/>
    </xf>
    <xf numFmtId="173" fontId="6" fillId="0" borderId="33" xfId="54" applyNumberFormat="1" applyBorder="1" applyAlignment="1" applyProtection="1">
      <alignment horizontal="center" vertical="center"/>
      <protection hidden="1"/>
    </xf>
    <xf numFmtId="0" fontId="6" fillId="0" borderId="17" xfId="54" applyBorder="1" applyAlignment="1" applyProtection="1">
      <alignment horizontal="center" vertical="center" wrapText="1"/>
      <protection hidden="1"/>
    </xf>
    <xf numFmtId="173" fontId="6" fillId="0" borderId="83" xfId="54" applyNumberFormat="1"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42" xfId="54" applyBorder="1" applyAlignment="1" applyProtection="1">
      <alignment horizontal="center" vertical="center"/>
      <protection hidden="1"/>
    </xf>
    <xf numFmtId="0" fontId="6" fillId="0" borderId="84" xfId="54" applyBorder="1" applyAlignment="1" applyProtection="1">
      <alignment horizontal="center"/>
      <protection hidden="1"/>
    </xf>
    <xf numFmtId="0" fontId="6" fillId="0" borderId="85" xfId="54" applyBorder="1" applyAlignment="1" applyProtection="1">
      <alignment horizontal="center"/>
      <protection hidden="1"/>
    </xf>
    <xf numFmtId="0" fontId="27" fillId="0" borderId="18" xfId="54" applyFont="1" applyBorder="1" applyAlignment="1" applyProtection="1">
      <alignment vertical="top"/>
      <protection hidden="1"/>
    </xf>
    <xf numFmtId="173" fontId="27" fillId="0" borderId="18" xfId="54" applyNumberFormat="1" applyFont="1" applyBorder="1" applyAlignment="1" applyProtection="1">
      <alignment vertical="top"/>
      <protection hidden="1"/>
    </xf>
    <xf numFmtId="14" fontId="27" fillId="0" borderId="18" xfId="54" applyNumberFormat="1" applyFont="1" applyBorder="1" applyAlignment="1" applyProtection="1">
      <alignment vertical="top"/>
      <protection hidden="1"/>
    </xf>
    <xf numFmtId="49" fontId="27" fillId="0" borderId="18" xfId="54" applyNumberFormat="1" applyFont="1" applyBorder="1" applyAlignment="1" applyProtection="1">
      <alignment vertical="top"/>
      <protection hidden="1"/>
    </xf>
    <xf numFmtId="173" fontId="8" fillId="0" borderId="0" xfId="54" applyNumberFormat="1" applyFont="1" applyProtection="1">
      <alignment/>
      <protection hidden="1"/>
    </xf>
    <xf numFmtId="0" fontId="8" fillId="0" borderId="0" xfId="54" applyFont="1" applyProtection="1">
      <alignment/>
      <protection hidden="1"/>
    </xf>
    <xf numFmtId="0" fontId="27" fillId="0" borderId="0" xfId="54" applyFont="1" applyAlignment="1" applyProtection="1">
      <alignment vertical="top"/>
      <protection hidden="1"/>
    </xf>
    <xf numFmtId="173" fontId="27" fillId="0" borderId="0" xfId="54" applyNumberFormat="1" applyFont="1" applyAlignment="1" applyProtection="1">
      <alignment vertical="top"/>
      <protection hidden="1"/>
    </xf>
    <xf numFmtId="14" fontId="27" fillId="0" borderId="0" xfId="54" applyNumberFormat="1" applyFont="1" applyAlignment="1" applyProtection="1">
      <alignment vertical="top"/>
      <protection hidden="1"/>
    </xf>
    <xf numFmtId="49" fontId="27" fillId="0" borderId="0" xfId="54" applyNumberFormat="1" applyFont="1" applyAlignment="1" applyProtection="1">
      <alignment vertical="top"/>
      <protection hidden="1"/>
    </xf>
    <xf numFmtId="0" fontId="28" fillId="0" borderId="0" xfId="54" applyFont="1" applyAlignment="1" applyProtection="1">
      <alignment vertical="top"/>
      <protection hidden="1"/>
    </xf>
    <xf numFmtId="173" fontId="2" fillId="0" borderId="0" xfId="54" applyNumberFormat="1" applyFont="1" applyProtection="1">
      <alignment/>
      <protection hidden="1"/>
    </xf>
    <xf numFmtId="173" fontId="3" fillId="0" borderId="0" xfId="54" applyNumberFormat="1" applyFont="1" applyProtection="1">
      <alignment/>
      <protection hidden="1"/>
    </xf>
    <xf numFmtId="0" fontId="6" fillId="0" borderId="0" xfId="54" applyAlignment="1" applyProtection="1">
      <alignment horizontal="left"/>
      <protection hidden="1"/>
    </xf>
    <xf numFmtId="173" fontId="6" fillId="0" borderId="0" xfId="54" applyNumberFormat="1" applyAlignment="1" applyProtection="1">
      <alignment horizontal="left"/>
      <protection hidden="1"/>
    </xf>
    <xf numFmtId="0" fontId="6" fillId="0" borderId="0" xfId="54" applyFont="1" applyProtection="1">
      <alignment/>
      <protection hidden="1"/>
    </xf>
    <xf numFmtId="173" fontId="6" fillId="0" borderId="0" xfId="54" applyNumberFormat="1" applyFont="1" applyAlignment="1" applyProtection="1">
      <alignment horizontal="right"/>
      <protection hidden="1"/>
    </xf>
    <xf numFmtId="0" fontId="28" fillId="0" borderId="0" xfId="54" applyFont="1" applyProtection="1">
      <alignment/>
      <protection hidden="1"/>
    </xf>
    <xf numFmtId="0" fontId="29" fillId="0" borderId="0" xfId="54" applyFont="1" applyProtection="1">
      <alignment/>
      <protection hidden="1"/>
    </xf>
    <xf numFmtId="0" fontId="18" fillId="0" borderId="41" xfId="58" applyBorder="1" applyAlignment="1">
      <alignment wrapText="1"/>
      <protection/>
    </xf>
    <xf numFmtId="0" fontId="18" fillId="0" borderId="42" xfId="58" applyBorder="1" applyAlignment="1">
      <alignment wrapText="1"/>
      <protection/>
    </xf>
    <xf numFmtId="0" fontId="18" fillId="0" borderId="42" xfId="58" applyFont="1" applyFill="1" applyBorder="1" applyAlignment="1">
      <alignment/>
      <protection/>
    </xf>
    <xf numFmtId="0" fontId="18" fillId="0" borderId="43" xfId="58" applyFont="1" applyFill="1" applyBorder="1" applyAlignment="1">
      <alignment/>
      <protection/>
    </xf>
    <xf numFmtId="0" fontId="6" fillId="0" borderId="0" xfId="55">
      <alignment/>
      <protection/>
    </xf>
    <xf numFmtId="0" fontId="30" fillId="0" borderId="0" xfId="55" applyFont="1" applyAlignment="1">
      <alignment vertical="top" wrapText="1"/>
      <protection/>
    </xf>
    <xf numFmtId="0" fontId="30" fillId="0" borderId="0" xfId="55" applyFont="1">
      <alignment/>
      <protection/>
    </xf>
    <xf numFmtId="0" fontId="91" fillId="0" borderId="0" xfId="0" applyFont="1" applyAlignment="1">
      <alignment vertical="center"/>
    </xf>
    <xf numFmtId="0" fontId="91" fillId="47" borderId="0" xfId="0" applyFont="1" applyFill="1" applyAlignment="1">
      <alignment vertical="center"/>
    </xf>
    <xf numFmtId="14" fontId="92" fillId="0" borderId="0" xfId="0" applyNumberFormat="1" applyFont="1" applyAlignment="1">
      <alignment horizontal="right" vertical="top"/>
    </xf>
    <xf numFmtId="0" fontId="91" fillId="0" borderId="0" xfId="0" applyFont="1" applyAlignment="1">
      <alignment horizontal="left" vertical="center"/>
    </xf>
    <xf numFmtId="0" fontId="93" fillId="0" borderId="0" xfId="0" applyFont="1" applyAlignment="1">
      <alignment horizontal="left" vertical="top"/>
    </xf>
    <xf numFmtId="0" fontId="91" fillId="0" borderId="0" xfId="0" applyFont="1" applyAlignment="1">
      <alignment/>
    </xf>
    <xf numFmtId="0" fontId="94" fillId="0" borderId="0" xfId="0" applyFont="1" applyAlignment="1">
      <alignment vertical="center"/>
    </xf>
    <xf numFmtId="0" fontId="21" fillId="0" borderId="0" xfId="55" applyFont="1">
      <alignment/>
      <protection/>
    </xf>
    <xf numFmtId="0" fontId="34" fillId="0" borderId="0" xfId="55" applyFont="1" applyAlignment="1">
      <alignment vertical="center"/>
      <protection/>
    </xf>
    <xf numFmtId="0" fontId="95" fillId="0" borderId="0" xfId="55" applyFont="1" applyAlignment="1">
      <alignment horizontal="left" vertical="center"/>
      <protection/>
    </xf>
    <xf numFmtId="0" fontId="95" fillId="47" borderId="86" xfId="55" applyFont="1" applyFill="1" applyBorder="1" applyAlignment="1">
      <alignment horizontal="left" vertical="center"/>
      <protection/>
    </xf>
    <xf numFmtId="0" fontId="95" fillId="47" borderId="87" xfId="55" applyFont="1" applyFill="1" applyBorder="1" applyAlignment="1">
      <alignment horizontal="left" vertical="center"/>
      <protection/>
    </xf>
    <xf numFmtId="0" fontId="95" fillId="47" borderId="88" xfId="55" applyFont="1" applyFill="1" applyBorder="1" applyAlignment="1">
      <alignment horizontal="left" vertical="center"/>
      <protection/>
    </xf>
    <xf numFmtId="0" fontId="96" fillId="0" borderId="0" xfId="0" applyFont="1" applyAlignment="1">
      <alignment/>
    </xf>
    <xf numFmtId="0" fontId="29" fillId="0" borderId="0" xfId="0" applyFont="1" applyAlignment="1">
      <alignment/>
    </xf>
    <xf numFmtId="0" fontId="97" fillId="0" borderId="0" xfId="0" applyFont="1" applyAlignment="1">
      <alignment horizontal="left" vertical="center"/>
    </xf>
    <xf numFmtId="0" fontId="13" fillId="0" borderId="0" xfId="0" applyFont="1" applyAlignment="1" applyProtection="1">
      <alignment horizontal="left" vertical="center"/>
      <protection hidden="1"/>
    </xf>
    <xf numFmtId="0" fontId="2" fillId="0" borderId="0" xfId="0" applyFont="1" applyAlignment="1" applyProtection="1">
      <alignment horizontal="center" vertical="center"/>
      <protection locked="0"/>
    </xf>
    <xf numFmtId="0" fontId="97" fillId="0" borderId="0" xfId="0" applyFont="1" applyAlignment="1" applyProtection="1">
      <alignment horizontal="left" vertical="center"/>
      <protection locked="0"/>
    </xf>
    <xf numFmtId="0" fontId="94" fillId="0" borderId="0" xfId="0" applyFont="1" applyAlignment="1">
      <alignment horizontal="left" vertical="center"/>
    </xf>
    <xf numFmtId="14" fontId="92" fillId="0" borderId="0" xfId="0" applyNumberFormat="1" applyFont="1" applyAlignment="1">
      <alignment horizontal="right" vertical="center"/>
    </xf>
    <xf numFmtId="0" fontId="91" fillId="47" borderId="89" xfId="0" applyFont="1" applyFill="1" applyBorder="1" applyAlignment="1">
      <alignment vertical="center"/>
    </xf>
    <xf numFmtId="173" fontId="94" fillId="0" borderId="90" xfId="0" applyNumberFormat="1" applyFont="1" applyBorder="1" applyAlignment="1">
      <alignment horizontal="right" vertical="center"/>
    </xf>
    <xf numFmtId="173" fontId="94" fillId="0" borderId="91" xfId="0" applyNumberFormat="1" applyFont="1" applyBorder="1" applyAlignment="1">
      <alignment horizontal="right" vertical="center"/>
    </xf>
    <xf numFmtId="0" fontId="94" fillId="0" borderId="92" xfId="0" applyFont="1" applyBorder="1" applyAlignment="1">
      <alignment vertical="center"/>
    </xf>
    <xf numFmtId="173" fontId="94" fillId="0" borderId="91" xfId="0" applyNumberFormat="1" applyFont="1" applyBorder="1" applyAlignment="1">
      <alignment vertical="center"/>
    </xf>
    <xf numFmtId="0" fontId="95" fillId="47" borderId="89" xfId="0" applyFont="1" applyFill="1" applyBorder="1" applyAlignment="1">
      <alignment horizontal="right" vertical="center"/>
    </xf>
    <xf numFmtId="0" fontId="95" fillId="47" borderId="89" xfId="0" applyFont="1" applyFill="1" applyBorder="1" applyAlignment="1">
      <alignment vertical="center"/>
    </xf>
    <xf numFmtId="0" fontId="94" fillId="48" borderId="90" xfId="0" applyFont="1" applyFill="1" applyBorder="1" applyAlignment="1">
      <alignment vertical="center"/>
    </xf>
    <xf numFmtId="0" fontId="94" fillId="48" borderId="91" xfId="0" applyFont="1" applyFill="1" applyBorder="1" applyAlignment="1">
      <alignment vertical="center"/>
    </xf>
    <xf numFmtId="0" fontId="91" fillId="0" borderId="92" xfId="0" applyFont="1" applyBorder="1" applyAlignment="1">
      <alignment vertical="center"/>
    </xf>
    <xf numFmtId="0" fontId="94" fillId="48" borderId="89" xfId="0" applyFont="1" applyFill="1" applyBorder="1" applyAlignment="1">
      <alignment vertical="center"/>
    </xf>
    <xf numFmtId="173" fontId="94" fillId="0" borderId="89" xfId="0" applyNumberFormat="1" applyFont="1" applyBorder="1" applyAlignment="1">
      <alignment horizontal="right" vertical="center"/>
    </xf>
    <xf numFmtId="0" fontId="94" fillId="48" borderId="90" xfId="0" applyFont="1" applyFill="1" applyBorder="1" applyAlignment="1">
      <alignment horizontal="right" vertical="center"/>
    </xf>
    <xf numFmtId="0" fontId="94" fillId="48" borderId="93" xfId="0" applyFont="1" applyFill="1" applyBorder="1" applyAlignment="1">
      <alignment vertical="center"/>
    </xf>
    <xf numFmtId="0" fontId="94" fillId="48" borderId="91" xfId="0" applyFont="1" applyFill="1" applyBorder="1" applyAlignment="1">
      <alignment horizontal="right" vertical="center"/>
    </xf>
    <xf numFmtId="0" fontId="91" fillId="49" borderId="94" xfId="0" applyFont="1" applyFill="1" applyBorder="1" applyAlignment="1">
      <alignment vertical="center"/>
    </xf>
    <xf numFmtId="173" fontId="91" fillId="0" borderId="94" xfId="0" applyNumberFormat="1" applyFont="1" applyBorder="1" applyAlignment="1">
      <alignment horizontal="right" vertical="center"/>
    </xf>
    <xf numFmtId="0" fontId="91" fillId="49" borderId="95" xfId="0" applyFont="1" applyFill="1" applyBorder="1" applyAlignment="1">
      <alignment vertical="center"/>
    </xf>
    <xf numFmtId="0" fontId="91" fillId="49" borderId="96" xfId="0" applyFont="1" applyFill="1" applyBorder="1" applyAlignment="1">
      <alignment vertical="center"/>
    </xf>
    <xf numFmtId="0" fontId="91" fillId="0" borderId="97" xfId="0" applyFont="1" applyBorder="1" applyAlignment="1">
      <alignment vertical="center"/>
    </xf>
    <xf numFmtId="0" fontId="94" fillId="49" borderId="98" xfId="0" applyFont="1" applyFill="1" applyBorder="1" applyAlignment="1">
      <alignment horizontal="right" vertical="center"/>
    </xf>
    <xf numFmtId="0" fontId="94" fillId="49" borderId="99" xfId="0" applyFont="1" applyFill="1" applyBorder="1" applyAlignment="1">
      <alignment vertical="center"/>
    </xf>
    <xf numFmtId="0" fontId="94" fillId="49" borderId="100" xfId="0" applyFont="1" applyFill="1" applyBorder="1" applyAlignment="1">
      <alignment vertical="center"/>
    </xf>
    <xf numFmtId="0" fontId="91" fillId="0" borderId="92" xfId="0" applyFont="1" applyBorder="1" applyAlignment="1">
      <alignment horizontal="left" vertical="center"/>
    </xf>
    <xf numFmtId="0" fontId="94" fillId="50" borderId="90" xfId="0" applyFont="1" applyFill="1" applyBorder="1" applyAlignment="1">
      <alignment vertical="center"/>
    </xf>
    <xf numFmtId="0" fontId="91" fillId="50" borderId="93" xfId="0" applyFont="1" applyFill="1" applyBorder="1" applyAlignment="1">
      <alignment horizontal="right" vertical="center"/>
    </xf>
    <xf numFmtId="0" fontId="91" fillId="50" borderId="91" xfId="0" applyFont="1" applyFill="1" applyBorder="1" applyAlignment="1">
      <alignment horizontal="right" vertical="center"/>
    </xf>
    <xf numFmtId="0" fontId="94" fillId="50" borderId="93" xfId="0" applyFont="1" applyFill="1" applyBorder="1" applyAlignment="1">
      <alignment horizontal="right" vertical="center"/>
    </xf>
    <xf numFmtId="14" fontId="94" fillId="50" borderId="93" xfId="0" applyNumberFormat="1" applyFont="1" applyFill="1" applyBorder="1" applyAlignment="1">
      <alignment vertical="center"/>
    </xf>
    <xf numFmtId="0" fontId="94" fillId="50" borderId="93" xfId="0" applyFont="1" applyFill="1" applyBorder="1" applyAlignment="1">
      <alignment vertical="center"/>
    </xf>
    <xf numFmtId="0" fontId="91" fillId="50" borderId="90" xfId="0" applyFont="1" applyFill="1" applyBorder="1" applyAlignment="1">
      <alignment horizontal="right" vertical="center"/>
    </xf>
    <xf numFmtId="0" fontId="94" fillId="50" borderId="91" xfId="0" applyFont="1" applyFill="1" applyBorder="1" applyAlignment="1">
      <alignment vertical="center"/>
    </xf>
    <xf numFmtId="0" fontId="91" fillId="49" borderId="101" xfId="0" applyFont="1" applyFill="1" applyBorder="1" applyAlignment="1">
      <alignment vertical="center"/>
    </xf>
    <xf numFmtId="173" fontId="91" fillId="0" borderId="101" xfId="0" applyNumberFormat="1" applyFont="1" applyBorder="1" applyAlignment="1">
      <alignment horizontal="right" vertical="center"/>
    </xf>
    <xf numFmtId="14" fontId="91" fillId="49" borderId="95" xfId="0" applyNumberFormat="1" applyFont="1" applyFill="1" applyBorder="1" applyAlignment="1">
      <alignment vertical="center"/>
    </xf>
    <xf numFmtId="0" fontId="94" fillId="49" borderId="95" xfId="0" applyFont="1" applyFill="1" applyBorder="1" applyAlignment="1">
      <alignment horizontal="right" vertical="center"/>
    </xf>
    <xf numFmtId="0" fontId="94" fillId="49" borderId="96" xfId="0" applyFont="1" applyFill="1" applyBorder="1" applyAlignment="1">
      <alignment vertical="center"/>
    </xf>
    <xf numFmtId="0" fontId="94" fillId="0" borderId="92" xfId="0" applyFont="1" applyBorder="1" applyAlignment="1">
      <alignment horizontal="left" vertical="center"/>
    </xf>
    <xf numFmtId="0" fontId="94" fillId="49" borderId="89" xfId="0" applyFont="1" applyFill="1" applyBorder="1" applyAlignment="1">
      <alignment horizontal="left" vertical="center"/>
    </xf>
    <xf numFmtId="0" fontId="94" fillId="49" borderId="89" xfId="0" applyFont="1" applyFill="1" applyBorder="1" applyAlignment="1">
      <alignment horizontal="left" vertical="center" wrapText="1"/>
    </xf>
    <xf numFmtId="0" fontId="94" fillId="0" borderId="0" xfId="0" applyFont="1" applyAlignment="1">
      <alignment/>
    </xf>
    <xf numFmtId="0" fontId="98" fillId="47" borderId="89" xfId="0" applyFont="1" applyFill="1" applyBorder="1" applyAlignment="1">
      <alignment vertical="center"/>
    </xf>
    <xf numFmtId="0" fontId="98" fillId="0" borderId="92" xfId="0" applyFont="1" applyBorder="1" applyAlignment="1">
      <alignment horizontal="left" vertical="center"/>
    </xf>
    <xf numFmtId="0" fontId="99" fillId="0" borderId="0" xfId="0" applyFont="1" applyAlignment="1">
      <alignment/>
    </xf>
    <xf numFmtId="0" fontId="91" fillId="40" borderId="0" xfId="0" applyFont="1" applyFill="1" applyAlignment="1">
      <alignment/>
    </xf>
    <xf numFmtId="0" fontId="71" fillId="33" borderId="0" xfId="0" applyFont="1" applyFill="1" applyAlignment="1" applyProtection="1">
      <alignment/>
      <protection/>
    </xf>
    <xf numFmtId="0" fontId="91" fillId="0" borderId="89" xfId="0" applyFont="1" applyBorder="1" applyAlignment="1" applyProtection="1">
      <alignment horizontal="left" vertical="center"/>
      <protection locked="0"/>
    </xf>
    <xf numFmtId="14" fontId="91" fillId="0" borderId="89" xfId="0" applyNumberFormat="1" applyFont="1" applyBorder="1" applyAlignment="1" applyProtection="1">
      <alignment horizontal="left" vertical="center"/>
      <protection locked="0"/>
    </xf>
    <xf numFmtId="173" fontId="91" fillId="0" borderId="89" xfId="0" applyNumberFormat="1" applyFont="1" applyBorder="1" applyAlignment="1" applyProtection="1">
      <alignment horizontal="right" vertical="center"/>
      <protection locked="0"/>
    </xf>
    <xf numFmtId="0" fontId="91" fillId="0" borderId="102" xfId="0" applyFont="1" applyBorder="1" applyAlignment="1" applyProtection="1">
      <alignment horizontal="left" vertical="center"/>
      <protection locked="0"/>
    </xf>
    <xf numFmtId="14" fontId="91" fillId="0" borderId="102" xfId="0" applyNumberFormat="1" applyFont="1" applyBorder="1" applyAlignment="1" applyProtection="1">
      <alignment horizontal="left" vertical="center"/>
      <protection locked="0"/>
    </xf>
    <xf numFmtId="173" fontId="91" fillId="0" borderId="102" xfId="0" applyNumberFormat="1" applyFont="1" applyBorder="1" applyAlignment="1" applyProtection="1">
      <alignment horizontal="right" vertical="center"/>
      <protection locked="0"/>
    </xf>
    <xf numFmtId="0" fontId="6" fillId="0" borderId="103" xfId="54" applyBorder="1" applyProtection="1">
      <alignment/>
      <protection/>
    </xf>
    <xf numFmtId="0" fontId="6" fillId="0" borderId="0" xfId="54" applyAlignment="1" applyProtection="1">
      <alignment shrinkToFit="1"/>
      <protection/>
    </xf>
    <xf numFmtId="0" fontId="6" fillId="0" borderId="41" xfId="54" applyBorder="1" applyAlignment="1" applyProtection="1">
      <alignment shrinkToFit="1"/>
      <protection/>
    </xf>
    <xf numFmtId="173" fontId="6" fillId="0" borderId="41" xfId="54" applyNumberFormat="1" applyBorder="1" applyAlignment="1" applyProtection="1">
      <alignment shrinkToFit="1"/>
      <protection/>
    </xf>
    <xf numFmtId="173" fontId="6" fillId="0" borderId="41" xfId="54" applyNumberFormat="1" applyBorder="1" applyProtection="1">
      <alignment/>
      <protection/>
    </xf>
    <xf numFmtId="173" fontId="6" fillId="0" borderId="35" xfId="54" applyNumberFormat="1" applyBorder="1" applyProtection="1">
      <alignment/>
      <protection/>
    </xf>
    <xf numFmtId="173" fontId="6" fillId="0" borderId="36" xfId="54" applyNumberFormat="1" applyBorder="1" applyProtection="1">
      <alignment/>
      <protection/>
    </xf>
    <xf numFmtId="49" fontId="6" fillId="0" borderId="104" xfId="54" applyNumberFormat="1" applyBorder="1" applyProtection="1">
      <alignment/>
      <protection/>
    </xf>
    <xf numFmtId="14" fontId="6" fillId="0" borderId="41" xfId="54" applyNumberFormat="1" applyBorder="1" applyAlignment="1" applyProtection="1">
      <alignment horizontal="center"/>
      <protection/>
    </xf>
    <xf numFmtId="49" fontId="6" fillId="0" borderId="0" xfId="54" applyNumberFormat="1" applyProtection="1">
      <alignment/>
      <protection/>
    </xf>
    <xf numFmtId="173" fontId="6" fillId="0" borderId="38" xfId="54" applyNumberFormat="1" applyBorder="1" applyProtection="1">
      <alignment/>
      <protection/>
    </xf>
    <xf numFmtId="0" fontId="6" fillId="0" borderId="15" xfId="54" applyBorder="1" applyProtection="1">
      <alignment/>
      <protection/>
    </xf>
    <xf numFmtId="0" fontId="6" fillId="0" borderId="20" xfId="54" applyBorder="1" applyProtection="1">
      <alignment/>
      <protection/>
    </xf>
    <xf numFmtId="0" fontId="6" fillId="0" borderId="0" xfId="54" applyProtection="1">
      <alignment/>
      <protection/>
    </xf>
    <xf numFmtId="0" fontId="6" fillId="0" borderId="42" xfId="54" applyBorder="1" applyProtection="1">
      <alignment/>
      <protection/>
    </xf>
    <xf numFmtId="173" fontId="6" fillId="0" borderId="42" xfId="54" applyNumberFormat="1" applyBorder="1" applyProtection="1">
      <alignment/>
      <protection/>
    </xf>
    <xf numFmtId="173" fontId="6" fillId="0" borderId="37" xfId="54" applyNumberFormat="1" applyBorder="1" applyProtection="1">
      <alignment/>
      <protection/>
    </xf>
    <xf numFmtId="49" fontId="6" fillId="0" borderId="68" xfId="54" applyNumberFormat="1" applyBorder="1" applyProtection="1">
      <alignment/>
      <protection/>
    </xf>
    <xf numFmtId="14" fontId="6" fillId="0" borderId="42" xfId="54" applyNumberFormat="1" applyBorder="1" applyAlignment="1" applyProtection="1">
      <alignment horizontal="center"/>
      <protection/>
    </xf>
    <xf numFmtId="0" fontId="6" fillId="0" borderId="81" xfId="54" applyBorder="1" applyProtection="1">
      <alignment/>
      <protection/>
    </xf>
    <xf numFmtId="173" fontId="6" fillId="0" borderId="81" xfId="54" applyNumberFormat="1" applyBorder="1" applyProtection="1">
      <alignment/>
      <protection/>
    </xf>
    <xf numFmtId="0" fontId="6" fillId="0" borderId="41" xfId="54" applyBorder="1" applyProtection="1">
      <alignment/>
      <protection/>
    </xf>
    <xf numFmtId="0" fontId="25" fillId="0" borderId="103" xfId="54" applyFont="1" applyBorder="1" applyProtection="1">
      <alignment/>
      <protection/>
    </xf>
    <xf numFmtId="49" fontId="6" fillId="0" borderId="22" xfId="54" applyNumberFormat="1" applyBorder="1" applyProtection="1">
      <alignment/>
      <protection/>
    </xf>
    <xf numFmtId="0" fontId="6" fillId="0" borderId="105" xfId="54" applyBorder="1" applyProtection="1">
      <alignment/>
      <protection/>
    </xf>
    <xf numFmtId="0" fontId="25" fillId="0" borderId="20" xfId="54" applyFont="1" applyBorder="1" applyProtection="1">
      <alignment/>
      <protection/>
    </xf>
    <xf numFmtId="49" fontId="6" fillId="0" borderId="106" xfId="54" applyNumberFormat="1" applyBorder="1" applyProtection="1">
      <alignment/>
      <protection/>
    </xf>
    <xf numFmtId="173" fontId="6" fillId="0" borderId="22" xfId="54" applyNumberFormat="1" applyBorder="1" applyProtection="1">
      <alignment/>
      <protection/>
    </xf>
    <xf numFmtId="173" fontId="6" fillId="0" borderId="0" xfId="54" applyNumberFormat="1" applyProtection="1">
      <alignment/>
      <protection/>
    </xf>
    <xf numFmtId="0" fontId="6" fillId="0" borderId="0" xfId="54" applyAlignment="1" applyProtection="1">
      <alignment vertical="center" textRotation="90"/>
      <protection/>
    </xf>
    <xf numFmtId="0" fontId="100" fillId="0" borderId="89" xfId="0" applyFont="1" applyBorder="1" applyAlignment="1" applyProtection="1">
      <alignment horizontal="left" vertical="center"/>
      <protection/>
    </xf>
    <xf numFmtId="4" fontId="6" fillId="0" borderId="0" xfId="53" applyNumberFormat="1" applyFill="1">
      <alignment/>
      <protection/>
    </xf>
    <xf numFmtId="4" fontId="6" fillId="0" borderId="0" xfId="53" applyNumberFormat="1">
      <alignment/>
      <protection/>
    </xf>
    <xf numFmtId="0" fontId="94" fillId="0" borderId="0" xfId="53" applyFont="1" applyAlignment="1">
      <alignmen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vertical="center"/>
      <protection/>
    </xf>
    <xf numFmtId="0" fontId="94" fillId="0" borderId="0" xfId="53" applyFont="1" applyAlignment="1">
      <alignment vertical="center" wrapText="1"/>
      <protection/>
    </xf>
    <xf numFmtId="0" fontId="91" fillId="0" borderId="0" xfId="53" applyFont="1" applyAlignment="1">
      <alignment horizontal="left" vertical="center" wrapText="1"/>
      <protection/>
    </xf>
    <xf numFmtId="0" fontId="91" fillId="0" borderId="108" xfId="53" applyFont="1" applyBorder="1" applyAlignment="1">
      <alignment vertical="center"/>
      <protection/>
    </xf>
    <xf numFmtId="0" fontId="91" fillId="0" borderId="107" xfId="53" applyFont="1" applyBorder="1" applyAlignment="1">
      <alignment vertical="center"/>
      <protection/>
    </xf>
    <xf numFmtId="0" fontId="91" fillId="0" borderId="108" xfId="53" applyFont="1" applyBorder="1">
      <alignment/>
      <protection/>
    </xf>
    <xf numFmtId="0" fontId="91" fillId="0" borderId="0" xfId="53" applyFont="1">
      <alignment/>
      <protection/>
    </xf>
    <xf numFmtId="0" fontId="91" fillId="0" borderId="107" xfId="53" applyFont="1" applyBorder="1">
      <alignment/>
      <protection/>
    </xf>
    <xf numFmtId="0" fontId="91" fillId="0" borderId="0" xfId="0" applyFont="1" applyAlignment="1">
      <alignment horizontal="left" vertical="center"/>
    </xf>
    <xf numFmtId="0" fontId="91" fillId="0" borderId="108" xfId="53" applyFont="1" applyBorder="1" applyAlignment="1">
      <alignment horizontal="left" vertical="center" wrapText="1"/>
      <protection/>
    </xf>
    <xf numFmtId="0" fontId="91" fillId="0" borderId="0" xfId="53" applyFont="1" applyAlignment="1">
      <alignment horizontal="left" vertical="center" wrapText="1"/>
      <protection/>
    </xf>
    <xf numFmtId="0" fontId="91" fillId="0" borderId="107" xfId="53" applyFont="1" applyBorder="1" applyAlignment="1">
      <alignment horizontal="left" vertical="center" wrapText="1"/>
      <protection/>
    </xf>
    <xf numFmtId="0" fontId="94" fillId="50" borderId="109" xfId="53" applyFont="1" applyFill="1" applyBorder="1" applyAlignment="1">
      <alignment vertical="center"/>
      <protection/>
    </xf>
    <xf numFmtId="0" fontId="94" fillId="50" borderId="93" xfId="53" applyFont="1" applyFill="1" applyBorder="1" applyAlignment="1">
      <alignment vertical="center"/>
      <protection/>
    </xf>
    <xf numFmtId="0" fontId="94" fillId="50" borderId="110" xfId="53" applyFont="1" applyFill="1" applyBorder="1" applyAlignment="1">
      <alignment vertical="center"/>
      <protection/>
    </xf>
    <xf numFmtId="0" fontId="94" fillId="0" borderId="111" xfId="53" applyFont="1" applyBorder="1" applyAlignment="1">
      <alignment horizontal="left" vertical="center"/>
      <protection/>
    </xf>
    <xf numFmtId="0" fontId="94" fillId="0" borderId="112" xfId="53" applyFont="1" applyBorder="1" applyAlignment="1">
      <alignment horizontal="left" vertical="center"/>
      <protection/>
    </xf>
    <xf numFmtId="0" fontId="94" fillId="0" borderId="113"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4" fillId="0" borderId="108" xfId="53" applyFont="1" applyBorder="1" applyAlignment="1">
      <alignment horizontal="left" vertical="center"/>
      <protection/>
    </xf>
    <xf numFmtId="0" fontId="94" fillId="0" borderId="0" xfId="53" applyFont="1" applyAlignment="1">
      <alignment horizontal="left" vertical="center"/>
      <protection/>
    </xf>
    <xf numFmtId="0" fontId="94" fillId="0" borderId="107" xfId="53" applyFont="1" applyBorder="1" applyAlignment="1">
      <alignment horizontal="left" vertical="center"/>
      <protection/>
    </xf>
    <xf numFmtId="0" fontId="18" fillId="0" borderId="108" xfId="53" applyFont="1" applyBorder="1" applyAlignment="1">
      <alignment horizontal="left" vertical="center" wrapText="1"/>
      <protection/>
    </xf>
    <xf numFmtId="0" fontId="91" fillId="0" borderId="114" xfId="53" applyFont="1" applyBorder="1" applyAlignment="1">
      <alignment horizontal="left" vertical="center"/>
      <protection/>
    </xf>
    <xf numFmtId="0" fontId="91" fillId="0" borderId="115" xfId="53" applyFont="1" applyBorder="1" applyAlignment="1">
      <alignment horizontal="left" vertical="center"/>
      <protection/>
    </xf>
    <xf numFmtId="0" fontId="91" fillId="0" borderId="116" xfId="53" applyFont="1" applyBorder="1" applyAlignment="1">
      <alignment horizontal="left" vertical="center"/>
      <protection/>
    </xf>
    <xf numFmtId="0" fontId="91" fillId="0" borderId="117" xfId="53" applyFont="1" applyBorder="1" applyAlignment="1">
      <alignment vertical="center" wrapText="1"/>
      <protection/>
    </xf>
    <xf numFmtId="0" fontId="91" fillId="0" borderId="118" xfId="53" applyFont="1" applyBorder="1" applyAlignment="1">
      <alignment vertical="center" wrapText="1"/>
      <protection/>
    </xf>
    <xf numFmtId="0" fontId="91" fillId="0" borderId="119" xfId="53" applyFont="1" applyBorder="1" applyAlignment="1">
      <alignment vertical="center" wrapText="1"/>
      <protection/>
    </xf>
    <xf numFmtId="0" fontId="94" fillId="50" borderId="109" xfId="53" applyFont="1" applyFill="1" applyBorder="1" applyAlignment="1">
      <alignment vertical="center" wrapText="1"/>
      <protection/>
    </xf>
    <xf numFmtId="0" fontId="94" fillId="50" borderId="93" xfId="53" applyFont="1" applyFill="1" applyBorder="1" applyAlignment="1">
      <alignment vertical="center" wrapText="1"/>
      <protection/>
    </xf>
    <xf numFmtId="0" fontId="94" fillId="50" borderId="110" xfId="53" applyFont="1" applyFill="1" applyBorder="1" applyAlignment="1">
      <alignment vertical="center" wrapText="1"/>
      <protection/>
    </xf>
    <xf numFmtId="0" fontId="91" fillId="0" borderId="120" xfId="0" applyFont="1" applyBorder="1" applyAlignment="1">
      <alignment horizontal="left" vertical="center"/>
    </xf>
    <xf numFmtId="0" fontId="91" fillId="0" borderId="115" xfId="0" applyFont="1" applyBorder="1" applyAlignment="1">
      <alignment horizontal="left" vertical="center"/>
    </xf>
    <xf numFmtId="0" fontId="91" fillId="0" borderId="121" xfId="0" applyFont="1" applyBorder="1" applyAlignment="1">
      <alignment horizontal="left" vertical="center"/>
    </xf>
    <xf numFmtId="14" fontId="92" fillId="0" borderId="0" xfId="0" applyNumberFormat="1" applyFont="1" applyAlignment="1">
      <alignment horizontal="right" vertical="top"/>
    </xf>
    <xf numFmtId="0" fontId="94" fillId="50" borderId="100" xfId="0" applyFont="1" applyFill="1" applyBorder="1" applyAlignment="1">
      <alignment horizontal="right" vertical="center"/>
    </xf>
    <xf numFmtId="0" fontId="94" fillId="50" borderId="96" xfId="0" applyFont="1" applyFill="1" applyBorder="1" applyAlignment="1">
      <alignment horizontal="right" vertical="center"/>
    </xf>
    <xf numFmtId="0" fontId="94" fillId="50" borderId="95" xfId="0" applyFont="1" applyFill="1" applyBorder="1" applyAlignment="1">
      <alignment horizontal="right" vertical="center"/>
    </xf>
    <xf numFmtId="0" fontId="91" fillId="0" borderId="102" xfId="0" applyFont="1" applyBorder="1" applyAlignment="1">
      <alignment horizontal="left" vertical="center"/>
    </xf>
    <xf numFmtId="0" fontId="91" fillId="51" borderId="122" xfId="0" applyFont="1" applyFill="1" applyBorder="1" applyAlignment="1" applyProtection="1">
      <alignment horizontal="left" vertical="center"/>
      <protection locked="0"/>
    </xf>
    <xf numFmtId="0" fontId="91" fillId="0" borderId="123" xfId="0" applyFont="1" applyBorder="1" applyAlignment="1">
      <alignment horizontal="left" vertical="center"/>
    </xf>
    <xf numFmtId="0" fontId="91" fillId="0" borderId="112" xfId="0" applyFont="1" applyBorder="1" applyAlignment="1">
      <alignment horizontal="left" vertical="center"/>
    </xf>
    <xf numFmtId="0" fontId="91" fillId="0" borderId="124" xfId="0" applyFont="1" applyBorder="1" applyAlignment="1">
      <alignment horizontal="left" vertical="center"/>
    </xf>
    <xf numFmtId="0" fontId="91" fillId="51" borderId="122" xfId="0" applyFont="1" applyFill="1" applyBorder="1" applyAlignment="1" applyProtection="1">
      <alignment vertical="center"/>
      <protection locked="0"/>
    </xf>
    <xf numFmtId="173" fontId="6" fillId="0" borderId="120" xfId="0" applyNumberFormat="1" applyFont="1" applyBorder="1" applyAlignment="1">
      <alignment horizontal="center" vertical="center"/>
    </xf>
    <xf numFmtId="173" fontId="6" fillId="0" borderId="115" xfId="0" applyNumberFormat="1" applyFont="1" applyBorder="1" applyAlignment="1">
      <alignment horizontal="center" vertical="center"/>
    </xf>
    <xf numFmtId="173" fontId="6" fillId="0" borderId="121" xfId="0" applyNumberFormat="1" applyFont="1" applyBorder="1" applyAlignment="1">
      <alignment horizontal="center" vertical="center"/>
    </xf>
    <xf numFmtId="168" fontId="91" fillId="0" borderId="91" xfId="0" applyNumberFormat="1" applyFont="1" applyBorder="1" applyAlignment="1">
      <alignment horizontal="center" vertical="center"/>
    </xf>
    <xf numFmtId="168" fontId="91" fillId="0" borderId="90" xfId="0" applyNumberFormat="1" applyFont="1" applyBorder="1" applyAlignment="1">
      <alignment horizontal="center" vertical="center"/>
    </xf>
    <xf numFmtId="0" fontId="94" fillId="2" borderId="100" xfId="0" applyFont="1" applyFill="1" applyBorder="1" applyAlignment="1" applyProtection="1">
      <alignment horizontal="right" vertical="center"/>
      <protection hidden="1"/>
    </xf>
    <xf numFmtId="0" fontId="94" fillId="2" borderId="96" xfId="0" applyFont="1" applyFill="1" applyBorder="1" applyAlignment="1" applyProtection="1">
      <alignment horizontal="right" vertical="center"/>
      <protection hidden="1"/>
    </xf>
    <xf numFmtId="0" fontId="94" fillId="2" borderId="95" xfId="0" applyFont="1" applyFill="1" applyBorder="1" applyAlignment="1" applyProtection="1">
      <alignment horizontal="right" vertical="center"/>
      <protection hidden="1"/>
    </xf>
    <xf numFmtId="173" fontId="94" fillId="0" borderId="100" xfId="0" applyNumberFormat="1" applyFont="1" applyBorder="1" applyAlignment="1" applyProtection="1">
      <alignment horizontal="right" vertical="center"/>
      <protection hidden="1"/>
    </xf>
    <xf numFmtId="173" fontId="94" fillId="0" borderId="96" xfId="0" applyNumberFormat="1" applyFont="1" applyBorder="1" applyAlignment="1" applyProtection="1">
      <alignment horizontal="right" vertical="center"/>
      <protection hidden="1"/>
    </xf>
    <xf numFmtId="173" fontId="94" fillId="0" borderId="95" xfId="0" applyNumberFormat="1" applyFont="1" applyBorder="1" applyAlignment="1" applyProtection="1">
      <alignment horizontal="right" vertical="center"/>
      <protection hidden="1"/>
    </xf>
    <xf numFmtId="3" fontId="94" fillId="0" borderId="100" xfId="0" applyNumberFormat="1" applyFont="1" applyBorder="1" applyAlignment="1" applyProtection="1">
      <alignment horizontal="center" vertical="center"/>
      <protection hidden="1"/>
    </xf>
    <xf numFmtId="3" fontId="94" fillId="0" borderId="95" xfId="0" applyNumberFormat="1" applyFont="1" applyBorder="1" applyAlignment="1" applyProtection="1">
      <alignment horizontal="center" vertical="center"/>
      <protection hidden="1"/>
    </xf>
    <xf numFmtId="4" fontId="94" fillId="0" borderId="100" xfId="0" applyNumberFormat="1" applyFont="1" applyBorder="1" applyAlignment="1" applyProtection="1">
      <alignment horizontal="center" vertical="center"/>
      <protection hidden="1"/>
    </xf>
    <xf numFmtId="4" fontId="94" fillId="0" borderId="95" xfId="0" applyNumberFormat="1" applyFont="1" applyBorder="1" applyAlignment="1" applyProtection="1">
      <alignment horizontal="center" vertical="center"/>
      <protection hidden="1"/>
    </xf>
    <xf numFmtId="168" fontId="94" fillId="0" borderId="100" xfId="0" applyNumberFormat="1" applyFont="1" applyBorder="1" applyAlignment="1" applyProtection="1">
      <alignment horizontal="center" vertical="center"/>
      <protection hidden="1"/>
    </xf>
    <xf numFmtId="168" fontId="94" fillId="0" borderId="95" xfId="0" applyNumberFormat="1" applyFont="1" applyBorder="1" applyAlignment="1" applyProtection="1">
      <alignment horizontal="center" vertical="center"/>
      <protection hidden="1"/>
    </xf>
    <xf numFmtId="0" fontId="91" fillId="52" borderId="91" xfId="0" applyFont="1" applyFill="1" applyBorder="1" applyAlignment="1" applyProtection="1">
      <alignment horizontal="left" vertical="center"/>
      <protection locked="0"/>
    </xf>
    <xf numFmtId="0" fontId="91" fillId="52" borderId="93" xfId="0" applyFont="1" applyFill="1" applyBorder="1" applyAlignment="1" applyProtection="1">
      <alignment horizontal="left" vertical="center"/>
      <protection locked="0"/>
    </xf>
    <xf numFmtId="0" fontId="91" fillId="52" borderId="90" xfId="0" applyFont="1" applyFill="1" applyBorder="1" applyAlignment="1" applyProtection="1">
      <alignment horizontal="left" vertical="center"/>
      <protection locked="0"/>
    </xf>
    <xf numFmtId="3" fontId="91" fillId="0" borderId="91" xfId="0" applyNumberFormat="1" applyFont="1" applyBorder="1" applyAlignment="1">
      <alignment horizontal="center" vertical="center"/>
    </xf>
    <xf numFmtId="0" fontId="91" fillId="0" borderId="90" xfId="0" applyFont="1" applyBorder="1" applyAlignment="1">
      <alignment horizontal="center" vertical="center"/>
    </xf>
    <xf numFmtId="167" fontId="91" fillId="52" borderId="91" xfId="0" applyNumberFormat="1" applyFont="1" applyFill="1" applyBorder="1" applyAlignment="1" applyProtection="1">
      <alignment horizontal="right" vertical="center"/>
      <protection locked="0"/>
    </xf>
    <xf numFmtId="167" fontId="91" fillId="52" borderId="93" xfId="0" applyNumberFormat="1" applyFont="1" applyFill="1" applyBorder="1" applyAlignment="1" applyProtection="1">
      <alignment horizontal="right" vertical="center"/>
      <protection locked="0"/>
    </xf>
    <xf numFmtId="167" fontId="91" fillId="52" borderId="90" xfId="0" applyNumberFormat="1" applyFont="1" applyFill="1" applyBorder="1" applyAlignment="1" applyProtection="1">
      <alignment horizontal="right" vertical="center"/>
      <protection locked="0"/>
    </xf>
    <xf numFmtId="4" fontId="91" fillId="0" borderId="91" xfId="0" applyNumberFormat="1" applyFont="1" applyBorder="1" applyAlignment="1">
      <alignment horizontal="center" vertical="center"/>
    </xf>
    <xf numFmtId="4" fontId="91" fillId="0" borderId="90" xfId="0" applyNumberFormat="1" applyFont="1" applyBorder="1" applyAlignment="1">
      <alignment horizontal="center" vertical="center"/>
    </xf>
    <xf numFmtId="0" fontId="94" fillId="50" borderId="91" xfId="0" applyFont="1" applyFill="1" applyBorder="1" applyAlignment="1" applyProtection="1">
      <alignment horizontal="center" vertical="center"/>
      <protection/>
    </xf>
    <xf numFmtId="0" fontId="94" fillId="50" borderId="90" xfId="0" applyFont="1" applyFill="1" applyBorder="1" applyAlignment="1" applyProtection="1">
      <alignment horizontal="center" vertical="center"/>
      <protection/>
    </xf>
    <xf numFmtId="0" fontId="94" fillId="50" borderId="91" xfId="0" applyFont="1" applyFill="1" applyBorder="1" applyAlignment="1" applyProtection="1">
      <alignment horizontal="left" vertical="center"/>
      <protection/>
    </xf>
    <xf numFmtId="0" fontId="94" fillId="50" borderId="93" xfId="0" applyFont="1" applyFill="1" applyBorder="1" applyAlignment="1" applyProtection="1">
      <alignment horizontal="left" vertical="center"/>
      <protection/>
    </xf>
    <xf numFmtId="0" fontId="94" fillId="50" borderId="90" xfId="0" applyFont="1" applyFill="1" applyBorder="1" applyAlignment="1" applyProtection="1">
      <alignment horizontal="left" vertical="center"/>
      <protection/>
    </xf>
    <xf numFmtId="0" fontId="94" fillId="50" borderId="93" xfId="0" applyFont="1" applyFill="1" applyBorder="1" applyAlignment="1" applyProtection="1">
      <alignment horizontal="center" vertical="center"/>
      <protection/>
    </xf>
    <xf numFmtId="0" fontId="91" fillId="51" borderId="120" xfId="0" applyFont="1" applyFill="1" applyBorder="1" applyAlignment="1" applyProtection="1">
      <alignment vertical="center"/>
      <protection locked="0"/>
    </xf>
    <xf numFmtId="0" fontId="91" fillId="51" borderId="115" xfId="0" applyFont="1" applyFill="1" applyBorder="1" applyAlignment="1" applyProtection="1">
      <alignment vertical="center"/>
      <protection locked="0"/>
    </xf>
    <xf numFmtId="0" fontId="91" fillId="51" borderId="121" xfId="0" applyFont="1" applyFill="1" applyBorder="1" applyAlignment="1" applyProtection="1">
      <alignment vertical="center"/>
      <protection locked="0"/>
    </xf>
    <xf numFmtId="0" fontId="91" fillId="0" borderId="123" xfId="0" applyFont="1" applyBorder="1" applyAlignment="1">
      <alignment vertical="center"/>
    </xf>
    <xf numFmtId="0" fontId="91" fillId="0" borderId="124" xfId="0" applyFont="1" applyBorder="1" applyAlignment="1">
      <alignment vertical="center"/>
    </xf>
    <xf numFmtId="0" fontId="91" fillId="0" borderId="123" xfId="0" applyFont="1" applyBorder="1" applyAlignment="1">
      <alignment horizontal="left" vertical="center" wrapText="1"/>
    </xf>
    <xf numFmtId="0" fontId="91" fillId="0" borderId="112" xfId="0" applyFont="1" applyBorder="1" applyAlignment="1">
      <alignment horizontal="left" vertical="center" wrapText="1"/>
    </xf>
    <xf numFmtId="0" fontId="91" fillId="0" borderId="124" xfId="0" applyFont="1" applyBorder="1" applyAlignment="1">
      <alignment horizontal="left" vertical="center" wrapText="1"/>
    </xf>
    <xf numFmtId="14" fontId="6" fillId="52" borderId="120" xfId="0" applyNumberFormat="1" applyFont="1" applyFill="1" applyBorder="1" applyAlignment="1" applyProtection="1">
      <alignment horizontal="left" vertical="center" wrapText="1"/>
      <protection locked="0"/>
    </xf>
    <xf numFmtId="0" fontId="6" fillId="52" borderId="115" xfId="0" applyFont="1" applyFill="1" applyBorder="1" applyAlignment="1" applyProtection="1">
      <alignment horizontal="left" vertical="center" wrapText="1"/>
      <protection locked="0"/>
    </xf>
    <xf numFmtId="0" fontId="6" fillId="52" borderId="121" xfId="0" applyFont="1" applyFill="1" applyBorder="1" applyAlignment="1" applyProtection="1">
      <alignment horizontal="left" vertical="center" wrapText="1"/>
      <protection locked="0"/>
    </xf>
    <xf numFmtId="0" fontId="91" fillId="52" borderId="120" xfId="0" applyFont="1" applyFill="1" applyBorder="1" applyAlignment="1" applyProtection="1">
      <alignment horizontal="left" vertical="center"/>
      <protection hidden="1"/>
    </xf>
    <xf numFmtId="0" fontId="91" fillId="52" borderId="115" xfId="0" applyFont="1" applyFill="1" applyBorder="1" applyAlignment="1" applyProtection="1">
      <alignment horizontal="left" vertical="center"/>
      <protection hidden="1"/>
    </xf>
    <xf numFmtId="0" fontId="91" fillId="52" borderId="121" xfId="0" applyFont="1" applyFill="1" applyBorder="1" applyAlignment="1" applyProtection="1">
      <alignment horizontal="left" vertical="center"/>
      <protection hidden="1"/>
    </xf>
    <xf numFmtId="0" fontId="91" fillId="0" borderId="102" xfId="0" applyFont="1" applyBorder="1" applyAlignment="1">
      <alignment vertical="center"/>
    </xf>
    <xf numFmtId="0" fontId="6" fillId="51" borderId="122" xfId="0" applyFont="1" applyFill="1" applyBorder="1" applyAlignment="1" applyProtection="1">
      <alignment vertical="center"/>
      <protection locked="0"/>
    </xf>
    <xf numFmtId="0" fontId="91" fillId="0" borderId="112" xfId="0" applyFont="1" applyBorder="1" applyAlignment="1">
      <alignment vertical="center"/>
    </xf>
    <xf numFmtId="0" fontId="94" fillId="50" borderId="123" xfId="0" applyFont="1" applyFill="1" applyBorder="1" applyAlignment="1">
      <alignment horizontal="center" vertical="center"/>
    </xf>
    <xf numFmtId="0" fontId="94" fillId="50" borderId="112" xfId="0" applyFont="1" applyFill="1" applyBorder="1" applyAlignment="1">
      <alignment horizontal="center" vertical="center"/>
    </xf>
    <xf numFmtId="0" fontId="94" fillId="50" borderId="124" xfId="0" applyFont="1" applyFill="1" applyBorder="1" applyAlignment="1">
      <alignment horizontal="center" vertical="center"/>
    </xf>
    <xf numFmtId="0" fontId="94" fillId="50" borderId="120" xfId="0" applyFont="1" applyFill="1" applyBorder="1" applyAlignment="1">
      <alignment horizontal="center" vertical="center"/>
    </xf>
    <xf numFmtId="0" fontId="94" fillId="50" borderId="115" xfId="0" applyFont="1" applyFill="1" applyBorder="1" applyAlignment="1">
      <alignment horizontal="center" vertical="center"/>
    </xf>
    <xf numFmtId="0" fontId="94" fillId="50" borderId="121" xfId="0" applyFont="1" applyFill="1" applyBorder="1" applyAlignment="1">
      <alignment horizontal="center" vertical="center"/>
    </xf>
    <xf numFmtId="14" fontId="91" fillId="51" borderId="115" xfId="0" applyNumberFormat="1" applyFont="1" applyFill="1" applyBorder="1" applyAlignment="1" applyProtection="1">
      <alignment horizontal="left" vertical="center"/>
      <protection locked="0"/>
    </xf>
    <xf numFmtId="0" fontId="91" fillId="51" borderId="115" xfId="0" applyFont="1" applyFill="1" applyBorder="1" applyAlignment="1" applyProtection="1">
      <alignment horizontal="left" vertical="center"/>
      <protection locked="0"/>
    </xf>
    <xf numFmtId="0" fontId="91" fillId="51" borderId="121" xfId="0" applyFont="1" applyFill="1" applyBorder="1" applyAlignment="1" applyProtection="1">
      <alignment horizontal="left" vertical="center"/>
      <protection locked="0"/>
    </xf>
    <xf numFmtId="0" fontId="95" fillId="47" borderId="123" xfId="0" applyFont="1" applyFill="1" applyBorder="1" applyAlignment="1">
      <alignment vertical="center"/>
    </xf>
    <xf numFmtId="0" fontId="95" fillId="47" borderId="112" xfId="0" applyFont="1" applyFill="1" applyBorder="1" applyAlignment="1">
      <alignment vertical="center"/>
    </xf>
    <xf numFmtId="0" fontId="95" fillId="47" borderId="124" xfId="0" applyFont="1" applyFill="1" applyBorder="1" applyAlignment="1">
      <alignment vertical="center"/>
    </xf>
    <xf numFmtId="0" fontId="91" fillId="3" borderId="122" xfId="0" applyFont="1" applyFill="1" applyBorder="1" applyAlignment="1" applyProtection="1">
      <alignment horizontal="left" vertical="center"/>
      <protection locked="0"/>
    </xf>
    <xf numFmtId="14" fontId="91" fillId="51" borderId="120" xfId="0" applyNumberFormat="1" applyFont="1" applyFill="1" applyBorder="1" applyAlignment="1" applyProtection="1">
      <alignment horizontal="left" vertical="center"/>
      <protection locked="0"/>
    </xf>
    <xf numFmtId="0" fontId="6" fillId="0" borderId="89" xfId="44" applyFont="1" applyBorder="1" applyAlignment="1" applyProtection="1">
      <alignment horizontal="left" vertical="center"/>
      <protection/>
    </xf>
    <xf numFmtId="0" fontId="91" fillId="51" borderId="91" xfId="0" applyFont="1" applyFill="1" applyBorder="1" applyAlignment="1" applyProtection="1">
      <alignment vertical="top" wrapText="1"/>
      <protection locked="0"/>
    </xf>
    <xf numFmtId="0" fontId="91" fillId="51" borderId="93" xfId="0" applyFont="1" applyFill="1" applyBorder="1" applyAlignment="1" applyProtection="1">
      <alignment vertical="top" wrapText="1"/>
      <protection locked="0"/>
    </xf>
    <xf numFmtId="0" fontId="91" fillId="51" borderId="90" xfId="0" applyFont="1" applyFill="1" applyBorder="1" applyAlignment="1" applyProtection="1">
      <alignment vertical="top" wrapText="1"/>
      <protection locked="0"/>
    </xf>
    <xf numFmtId="0" fontId="95" fillId="47" borderId="89" xfId="0" applyFont="1" applyFill="1" applyBorder="1" applyAlignment="1">
      <alignment vertical="center"/>
    </xf>
    <xf numFmtId="167" fontId="91" fillId="51" borderId="122" xfId="0" applyNumberFormat="1" applyFont="1" applyFill="1" applyBorder="1" applyAlignment="1" applyProtection="1">
      <alignment horizontal="left" vertical="center"/>
      <protection locked="0"/>
    </xf>
    <xf numFmtId="0" fontId="91" fillId="51" borderId="120" xfId="0" applyFont="1" applyFill="1" applyBorder="1" applyAlignment="1" applyProtection="1">
      <alignment horizontal="left" vertical="center"/>
      <protection locked="0"/>
    </xf>
    <xf numFmtId="0" fontId="91" fillId="52" borderId="122" xfId="0" applyFont="1" applyFill="1" applyBorder="1" applyAlignment="1" applyProtection="1">
      <alignment vertical="center"/>
      <protection locked="0"/>
    </xf>
    <xf numFmtId="4" fontId="6" fillId="0" borderId="122" xfId="0" applyNumberFormat="1" applyFont="1" applyBorder="1" applyAlignment="1">
      <alignment horizontal="center" vertical="center"/>
    </xf>
    <xf numFmtId="0" fontId="94" fillId="50" borderId="91" xfId="0" applyFont="1" applyFill="1" applyBorder="1" applyAlignment="1">
      <alignment vertical="center"/>
    </xf>
    <xf numFmtId="0" fontId="94" fillId="50" borderId="93" xfId="0" applyFont="1" applyFill="1" applyBorder="1" applyAlignment="1">
      <alignment vertical="center"/>
    </xf>
    <xf numFmtId="0" fontId="94" fillId="50" borderId="90" xfId="0" applyFont="1" applyFill="1" applyBorder="1" applyAlignment="1">
      <alignment vertical="center"/>
    </xf>
    <xf numFmtId="165" fontId="94" fillId="0" borderId="89" xfId="0" applyNumberFormat="1" applyFont="1" applyBorder="1" applyAlignment="1">
      <alignment horizontal="center" vertical="center"/>
    </xf>
    <xf numFmtId="0" fontId="91" fillId="0" borderId="89" xfId="0" applyFont="1" applyBorder="1" applyAlignment="1">
      <alignment vertical="center"/>
    </xf>
    <xf numFmtId="0" fontId="94" fillId="50" borderId="89" xfId="0" applyFont="1" applyFill="1" applyBorder="1" applyAlignment="1">
      <alignment vertical="center"/>
    </xf>
    <xf numFmtId="165" fontId="91" fillId="0" borderId="89" xfId="0" applyNumberFormat="1" applyFont="1" applyBorder="1" applyAlignment="1">
      <alignment horizontal="center" vertical="center"/>
    </xf>
    <xf numFmtId="0" fontId="95" fillId="47" borderId="91" xfId="0" applyFont="1" applyFill="1" applyBorder="1" applyAlignment="1">
      <alignment vertical="center"/>
    </xf>
    <xf numFmtId="0" fontId="95" fillId="47" borderId="93" xfId="0" applyFont="1" applyFill="1" applyBorder="1" applyAlignment="1">
      <alignment vertical="center"/>
    </xf>
    <xf numFmtId="0" fontId="95" fillId="47" borderId="90" xfId="0" applyFont="1" applyFill="1" applyBorder="1" applyAlignment="1">
      <alignment vertical="center"/>
    </xf>
    <xf numFmtId="0" fontId="101" fillId="0" borderId="0" xfId="0" applyFont="1" applyAlignment="1">
      <alignment vertical="top" wrapText="1"/>
    </xf>
    <xf numFmtId="0" fontId="18" fillId="0" borderId="123" xfId="0" applyFont="1" applyBorder="1" applyAlignment="1">
      <alignment horizontal="left" vertical="top" wrapText="1" indent="2"/>
    </xf>
    <xf numFmtId="0" fontId="18" fillId="0" borderId="112" xfId="0" applyFont="1" applyBorder="1" applyAlignment="1">
      <alignment horizontal="left" vertical="top" wrapText="1" indent="2"/>
    </xf>
    <xf numFmtId="0" fontId="91" fillId="0" borderId="112" xfId="0" applyFont="1" applyBorder="1" applyAlignment="1">
      <alignment horizontal="left" vertical="top" wrapText="1" indent="2"/>
    </xf>
    <xf numFmtId="0" fontId="91" fillId="0" borderId="124" xfId="0" applyFont="1" applyBorder="1" applyAlignment="1">
      <alignment horizontal="left" vertical="top" wrapText="1" indent="2"/>
    </xf>
    <xf numFmtId="14" fontId="91" fillId="51" borderId="122" xfId="0" applyNumberFormat="1" applyFont="1" applyFill="1" applyBorder="1" applyAlignment="1" applyProtection="1">
      <alignment horizontal="left" vertical="center"/>
      <protection locked="0"/>
    </xf>
    <xf numFmtId="0" fontId="91" fillId="0" borderId="94" xfId="0" applyFont="1" applyBorder="1" applyAlignment="1">
      <alignment vertical="center"/>
    </xf>
    <xf numFmtId="0" fontId="18" fillId="0" borderId="97" xfId="0" applyFont="1" applyBorder="1" applyAlignment="1">
      <alignment horizontal="left" vertical="top" wrapText="1" indent="2"/>
    </xf>
    <xf numFmtId="0" fontId="18" fillId="0" borderId="0" xfId="0" applyFont="1" applyAlignment="1">
      <alignment horizontal="left" vertical="top" wrapText="1" indent="2"/>
    </xf>
    <xf numFmtId="0" fontId="91" fillId="0" borderId="0" xfId="0" applyFont="1" applyAlignment="1">
      <alignment horizontal="left" vertical="top" wrapText="1" indent="2"/>
    </xf>
    <xf numFmtId="0" fontId="91" fillId="0" borderId="125" xfId="0" applyFont="1" applyBorder="1" applyAlignment="1">
      <alignment horizontal="left" vertical="top" wrapText="1" indent="2"/>
    </xf>
    <xf numFmtId="0" fontId="6" fillId="0" borderId="126" xfId="0" applyFont="1" applyBorder="1" applyAlignment="1">
      <alignment horizontal="left" vertical="top" wrapText="1" indent="2"/>
    </xf>
    <xf numFmtId="0" fontId="6" fillId="0" borderId="127" xfId="0" applyFont="1" applyBorder="1" applyAlignment="1">
      <alignment horizontal="left" vertical="top" wrapText="1" indent="2"/>
    </xf>
    <xf numFmtId="0" fontId="6" fillId="0" borderId="128" xfId="0" applyFont="1" applyBorder="1" applyAlignment="1">
      <alignment horizontal="left" vertical="top" wrapText="1" indent="2"/>
    </xf>
    <xf numFmtId="0" fontId="94" fillId="48" borderId="89" xfId="0" applyFont="1" applyFill="1" applyBorder="1" applyAlignment="1">
      <alignment vertical="center"/>
    </xf>
    <xf numFmtId="0" fontId="91" fillId="33" borderId="89" xfId="0" applyFont="1" applyFill="1" applyBorder="1" applyAlignment="1" applyProtection="1">
      <alignment horizontal="left" vertical="center"/>
      <protection/>
    </xf>
    <xf numFmtId="0" fontId="91" fillId="47" borderId="0" xfId="0" applyFont="1" applyFill="1" applyAlignment="1">
      <alignment horizontal="left" vertical="center"/>
    </xf>
    <xf numFmtId="0" fontId="18" fillId="0" borderId="123" xfId="0" applyFont="1" applyBorder="1" applyAlignment="1">
      <alignment horizontal="left" vertical="center"/>
    </xf>
    <xf numFmtId="0" fontId="18" fillId="0" borderId="112" xfId="0" applyFont="1" applyBorder="1" applyAlignment="1">
      <alignment horizontal="left" vertical="center"/>
    </xf>
    <xf numFmtId="0" fontId="18" fillId="0" borderId="124" xfId="0" applyFont="1" applyBorder="1" applyAlignment="1">
      <alignment horizontal="left" vertical="center"/>
    </xf>
    <xf numFmtId="0" fontId="18" fillId="0" borderId="97" xfId="0" applyFont="1" applyBorder="1" applyAlignment="1">
      <alignment horizontal="left" vertical="center"/>
    </xf>
    <xf numFmtId="0" fontId="18" fillId="0" borderId="0" xfId="0" applyFont="1" applyAlignment="1">
      <alignment horizontal="left" vertical="center"/>
    </xf>
    <xf numFmtId="0" fontId="18" fillId="0" borderId="125" xfId="0" applyFont="1" applyBorder="1" applyAlignment="1">
      <alignment horizontal="left" vertical="center"/>
    </xf>
    <xf numFmtId="0" fontId="18" fillId="0" borderId="89" xfId="0" applyFont="1" applyBorder="1" applyAlignment="1">
      <alignment horizontal="left" vertical="center"/>
    </xf>
    <xf numFmtId="0" fontId="91" fillId="0" borderId="89" xfId="0" applyFont="1" applyBorder="1" applyAlignment="1">
      <alignment horizontal="left" vertical="center"/>
    </xf>
    <xf numFmtId="0" fontId="94" fillId="48" borderId="89" xfId="0" applyFont="1" applyFill="1" applyBorder="1" applyAlignment="1">
      <alignment horizontal="center" vertical="center"/>
    </xf>
    <xf numFmtId="0" fontId="100" fillId="0" borderId="89" xfId="0" applyFont="1" applyBorder="1" applyAlignment="1" applyProtection="1">
      <alignment horizontal="left" vertical="center" wrapText="1"/>
      <protection/>
    </xf>
    <xf numFmtId="165" fontId="91" fillId="33" borderId="91" xfId="0" applyNumberFormat="1" applyFont="1" applyFill="1" applyBorder="1" applyAlignment="1" applyProtection="1">
      <alignment horizontal="center" vertical="center"/>
      <protection/>
    </xf>
    <xf numFmtId="165" fontId="91" fillId="33" borderId="93" xfId="0" applyNumberFormat="1" applyFont="1" applyFill="1" applyBorder="1" applyAlignment="1" applyProtection="1">
      <alignment horizontal="center" vertical="center"/>
      <protection/>
    </xf>
    <xf numFmtId="165" fontId="91" fillId="33" borderId="90" xfId="0" applyNumberFormat="1" applyFont="1" applyFill="1" applyBorder="1" applyAlignment="1" applyProtection="1">
      <alignment horizontal="center" vertical="center"/>
      <protection/>
    </xf>
    <xf numFmtId="165" fontId="91" fillId="52" borderId="91" xfId="0" applyNumberFormat="1" applyFont="1" applyFill="1" applyBorder="1" applyAlignment="1" applyProtection="1">
      <alignment horizontal="center" vertical="center"/>
      <protection locked="0"/>
    </xf>
    <xf numFmtId="165" fontId="91" fillId="52" borderId="93" xfId="0" applyNumberFormat="1" applyFont="1" applyFill="1" applyBorder="1" applyAlignment="1" applyProtection="1">
      <alignment horizontal="center" vertical="center"/>
      <protection locked="0"/>
    </xf>
    <xf numFmtId="165" fontId="91" fillId="52" borderId="90" xfId="0" applyNumberFormat="1" applyFont="1" applyFill="1" applyBorder="1" applyAlignment="1" applyProtection="1">
      <alignment horizontal="center" vertical="center"/>
      <protection locked="0"/>
    </xf>
    <xf numFmtId="9" fontId="91" fillId="33" borderId="89" xfId="60" applyFont="1" applyFill="1" applyBorder="1" applyAlignment="1" applyProtection="1">
      <alignment horizontal="center" vertical="center"/>
      <protection/>
    </xf>
    <xf numFmtId="9" fontId="91" fillId="33" borderId="89" xfId="60" applyFont="1" applyFill="1" applyBorder="1" applyAlignment="1">
      <alignment horizontal="center" vertical="center"/>
    </xf>
    <xf numFmtId="9" fontId="94" fillId="33" borderId="91" xfId="60" applyFont="1" applyFill="1" applyBorder="1" applyAlignment="1">
      <alignment horizontal="center" vertical="center"/>
    </xf>
    <xf numFmtId="9" fontId="94" fillId="33" borderId="93" xfId="60" applyFont="1" applyFill="1" applyBorder="1" applyAlignment="1">
      <alignment horizontal="center" vertical="center"/>
    </xf>
    <xf numFmtId="9" fontId="94" fillId="33" borderId="90" xfId="60" applyFont="1" applyFill="1" applyBorder="1" applyAlignment="1">
      <alignment horizontal="center" vertical="center"/>
    </xf>
    <xf numFmtId="0" fontId="100" fillId="52" borderId="89" xfId="0" applyFont="1" applyFill="1" applyBorder="1" applyAlignment="1" applyProtection="1">
      <alignment horizontal="left" vertical="center"/>
      <protection locked="0"/>
    </xf>
    <xf numFmtId="0" fontId="18" fillId="0" borderId="129" xfId="0" applyFont="1" applyBorder="1" applyAlignment="1">
      <alignment vertical="center" wrapText="1"/>
    </xf>
    <xf numFmtId="0" fontId="18" fillId="0" borderId="99" xfId="0" applyFont="1" applyBorder="1" applyAlignment="1">
      <alignment vertical="center" wrapText="1"/>
    </xf>
    <xf numFmtId="0" fontId="100" fillId="52" borderId="89" xfId="0" applyFont="1" applyFill="1" applyBorder="1" applyAlignment="1" applyProtection="1">
      <alignment horizontal="left" vertical="center" wrapText="1"/>
      <protection locked="0"/>
    </xf>
    <xf numFmtId="0" fontId="18" fillId="0" borderId="99" xfId="0" applyFont="1" applyBorder="1" applyAlignment="1">
      <alignment horizontal="center" vertical="center" wrapText="1"/>
    </xf>
    <xf numFmtId="0" fontId="18" fillId="0" borderId="98" xfId="0" applyFont="1" applyBorder="1" applyAlignment="1">
      <alignment horizontal="center" vertical="center" wrapText="1"/>
    </xf>
    <xf numFmtId="0" fontId="6" fillId="0" borderId="120" xfId="0" applyFont="1" applyBorder="1" applyAlignment="1" applyProtection="1">
      <alignment horizontal="center" vertical="center" wrapText="1"/>
      <protection locked="0"/>
    </xf>
    <xf numFmtId="0" fontId="6" fillId="0" borderId="115" xfId="0" applyFont="1" applyBorder="1" applyAlignment="1" applyProtection="1">
      <alignment horizontal="center" vertical="center" wrapText="1"/>
      <protection locked="0"/>
    </xf>
    <xf numFmtId="0" fontId="6" fillId="0" borderId="121" xfId="0" applyFont="1" applyBorder="1" applyAlignment="1" applyProtection="1">
      <alignment horizontal="center" vertical="center" wrapText="1"/>
      <protection locked="0"/>
    </xf>
    <xf numFmtId="0" fontId="94" fillId="50" borderId="89" xfId="0" applyFont="1" applyFill="1" applyBorder="1" applyAlignment="1">
      <alignment horizontal="center" vertical="center"/>
    </xf>
    <xf numFmtId="0" fontId="94" fillId="50" borderId="91" xfId="0" applyFont="1" applyFill="1" applyBorder="1" applyAlignment="1">
      <alignment horizontal="right" vertical="center"/>
    </xf>
    <xf numFmtId="0" fontId="94" fillId="50" borderId="93" xfId="0" applyFont="1" applyFill="1" applyBorder="1" applyAlignment="1">
      <alignment horizontal="right" vertical="center"/>
    </xf>
    <xf numFmtId="0" fontId="94" fillId="50" borderId="90" xfId="0" applyFont="1" applyFill="1" applyBorder="1" applyAlignment="1">
      <alignment horizontal="right" vertical="center"/>
    </xf>
    <xf numFmtId="165" fontId="94" fillId="33" borderId="91" xfId="0" applyNumberFormat="1" applyFont="1" applyFill="1" applyBorder="1" applyAlignment="1">
      <alignment horizontal="center" vertical="center"/>
    </xf>
    <xf numFmtId="165" fontId="94" fillId="33" borderId="93" xfId="0" applyNumberFormat="1" applyFont="1" applyFill="1" applyBorder="1" applyAlignment="1">
      <alignment horizontal="center" vertical="center"/>
    </xf>
    <xf numFmtId="165" fontId="94" fillId="33" borderId="90" xfId="0" applyNumberFormat="1" applyFont="1" applyFill="1" applyBorder="1" applyAlignment="1">
      <alignment horizontal="center" vertical="center"/>
    </xf>
    <xf numFmtId="0" fontId="94" fillId="48" borderId="102" xfId="0" applyFont="1" applyFill="1" applyBorder="1" applyAlignment="1">
      <alignment horizontal="left" vertical="center" wrapText="1"/>
    </xf>
    <xf numFmtId="0" fontId="94" fillId="48" borderId="122" xfId="0" applyFont="1" applyFill="1" applyBorder="1" applyAlignment="1">
      <alignment horizontal="left" vertical="center" wrapText="1"/>
    </xf>
    <xf numFmtId="0" fontId="94" fillId="48" borderId="102" xfId="0" applyFont="1" applyFill="1" applyBorder="1" applyAlignment="1">
      <alignment horizontal="left" vertical="center"/>
    </xf>
    <xf numFmtId="0" fontId="94" fillId="48" borderId="122" xfId="0" applyFont="1" applyFill="1" applyBorder="1" applyAlignment="1">
      <alignment horizontal="left" vertical="center"/>
    </xf>
    <xf numFmtId="0" fontId="94" fillId="48" borderId="102" xfId="0" applyFont="1" applyFill="1" applyBorder="1" applyAlignment="1">
      <alignment horizontal="center" vertical="center"/>
    </xf>
    <xf numFmtId="0" fontId="94" fillId="48" borderId="122" xfId="0" applyFont="1" applyFill="1" applyBorder="1" applyAlignment="1">
      <alignment horizontal="center" vertical="center"/>
    </xf>
    <xf numFmtId="0" fontId="102" fillId="33" borderId="0" xfId="0" applyFont="1" applyFill="1" applyAlignment="1" applyProtection="1">
      <alignment horizontal="center"/>
      <protection/>
    </xf>
    <xf numFmtId="0" fontId="2" fillId="34" borderId="33" xfId="0" applyFont="1" applyFill="1" applyBorder="1" applyAlignment="1" applyProtection="1">
      <alignment horizontal="center" vertical="center"/>
      <protection locked="0"/>
    </xf>
    <xf numFmtId="0" fontId="2" fillId="34" borderId="51"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34" borderId="33"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6" fillId="34" borderId="51" xfId="0" applyFont="1" applyFill="1" applyBorder="1" applyAlignment="1" applyProtection="1">
      <alignment horizontal="left" vertic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3" fillId="34" borderId="33" xfId="0" applyFont="1" applyFill="1" applyBorder="1" applyAlignment="1" applyProtection="1">
      <alignment horizontal="left" vertical="center"/>
      <protection locked="0"/>
    </xf>
    <xf numFmtId="0" fontId="3" fillId="34" borderId="34" xfId="0" applyFont="1" applyFill="1" applyBorder="1" applyAlignment="1" applyProtection="1">
      <alignment horizontal="left" vertical="center"/>
      <protection locked="0"/>
    </xf>
    <xf numFmtId="0" fontId="3" fillId="34" borderId="51" xfId="0" applyFont="1" applyFill="1" applyBorder="1" applyAlignment="1" applyProtection="1">
      <alignment horizontal="left" vertical="center"/>
      <protection locked="0"/>
    </xf>
    <xf numFmtId="0" fontId="2" fillId="39" borderId="33" xfId="0" applyFont="1" applyFill="1" applyBorder="1" applyAlignment="1" applyProtection="1">
      <alignment horizontal="center" vertical="center"/>
      <protection hidden="1"/>
    </xf>
    <xf numFmtId="0" fontId="2" fillId="39" borderId="34" xfId="0" applyFont="1" applyFill="1" applyBorder="1" applyAlignment="1" applyProtection="1">
      <alignment horizontal="center" vertical="center"/>
      <protection hidden="1"/>
    </xf>
    <xf numFmtId="0" fontId="2" fillId="39" borderId="51" xfId="0" applyFont="1" applyFill="1" applyBorder="1" applyAlignment="1" applyProtection="1">
      <alignment horizontal="center" vertical="center"/>
      <protection hidden="1"/>
    </xf>
    <xf numFmtId="166" fontId="2" fillId="33" borderId="18" xfId="0" applyNumberFormat="1" applyFont="1" applyFill="1" applyBorder="1" applyAlignment="1" applyProtection="1">
      <alignment horizontal="center" vertical="center"/>
      <protection/>
    </xf>
    <xf numFmtId="0" fontId="6" fillId="53" borderId="33" xfId="0" applyFont="1" applyFill="1" applyBorder="1" applyAlignment="1" applyProtection="1">
      <alignment horizontal="center" vertical="center"/>
      <protection locked="0"/>
    </xf>
    <xf numFmtId="0" fontId="6" fillId="53" borderId="34" xfId="0" applyFont="1" applyFill="1" applyBorder="1" applyAlignment="1" applyProtection="1">
      <alignment horizontal="center" vertical="center"/>
      <protection locked="0"/>
    </xf>
    <xf numFmtId="0" fontId="6" fillId="53" borderId="51" xfId="0" applyFont="1" applyFill="1" applyBorder="1" applyAlignment="1" applyProtection="1">
      <alignment horizontal="center" vertical="center"/>
      <protection locked="0"/>
    </xf>
    <xf numFmtId="168" fontId="2" fillId="44" borderId="33" xfId="0" applyNumberFormat="1" applyFont="1" applyFill="1" applyBorder="1" applyAlignment="1" applyProtection="1">
      <alignment horizontal="center" vertical="center"/>
      <protection hidden="1"/>
    </xf>
    <xf numFmtId="168" fontId="2" fillId="44" borderId="34" xfId="0" applyNumberFormat="1" applyFont="1" applyFill="1" applyBorder="1" applyAlignment="1" applyProtection="1">
      <alignment horizontal="center" vertical="center"/>
      <protection hidden="1"/>
    </xf>
    <xf numFmtId="168" fontId="2" fillId="44" borderId="51" xfId="0" applyNumberFormat="1" applyFont="1" applyFill="1" applyBorder="1" applyAlignment="1" applyProtection="1">
      <alignment horizontal="center" vertical="center"/>
      <protection hidden="1"/>
    </xf>
    <xf numFmtId="0" fontId="13" fillId="44" borderId="33" xfId="0" applyFont="1" applyFill="1" applyBorder="1" applyAlignment="1" applyProtection="1">
      <alignment horizontal="center" vertical="center"/>
      <protection hidden="1"/>
    </xf>
    <xf numFmtId="0" fontId="13" fillId="44" borderId="34" xfId="0" applyFont="1" applyFill="1" applyBorder="1" applyAlignment="1" applyProtection="1">
      <alignment horizontal="center" vertical="center"/>
      <protection hidden="1"/>
    </xf>
    <xf numFmtId="0" fontId="13" fillId="44" borderId="51" xfId="0" applyFont="1" applyFill="1" applyBorder="1" applyAlignment="1" applyProtection="1">
      <alignment horizontal="center" vertical="center"/>
      <protection hidden="1"/>
    </xf>
    <xf numFmtId="3" fontId="2" fillId="44" borderId="33" xfId="0" applyNumberFormat="1" applyFont="1" applyFill="1" applyBorder="1" applyAlignment="1" applyProtection="1">
      <alignment horizontal="center" vertical="center"/>
      <protection hidden="1"/>
    </xf>
    <xf numFmtId="3" fontId="2" fillId="44" borderId="34" xfId="0" applyNumberFormat="1" applyFont="1" applyFill="1" applyBorder="1" applyAlignment="1" applyProtection="1">
      <alignment horizontal="center" vertical="center"/>
      <protection hidden="1"/>
    </xf>
    <xf numFmtId="3" fontId="2" fillId="44" borderId="51" xfId="0" applyNumberFormat="1" applyFont="1" applyFill="1" applyBorder="1" applyAlignment="1" applyProtection="1">
      <alignment horizontal="center" vertical="center"/>
      <protection hidden="1"/>
    </xf>
    <xf numFmtId="14" fontId="2" fillId="0" borderId="33" xfId="0" applyNumberFormat="1" applyFont="1" applyBorder="1" applyAlignment="1" applyProtection="1">
      <alignment horizontal="center" vertical="center"/>
      <protection locked="0"/>
    </xf>
    <xf numFmtId="14" fontId="2" fillId="0" borderId="34" xfId="0" applyNumberFormat="1" applyFont="1" applyBorder="1" applyAlignment="1" applyProtection="1">
      <alignment horizontal="center" vertical="center"/>
      <protection locked="0"/>
    </xf>
    <xf numFmtId="14" fontId="2" fillId="0" borderId="51" xfId="0" applyNumberFormat="1" applyFont="1" applyBorder="1" applyAlignment="1" applyProtection="1">
      <alignment horizontal="center" vertical="center"/>
      <protection locked="0"/>
    </xf>
    <xf numFmtId="167" fontId="2" fillId="0" borderId="33" xfId="0" applyNumberFormat="1" applyFont="1" applyBorder="1" applyAlignment="1" applyProtection="1">
      <alignment horizontal="center" vertical="center"/>
      <protection locked="0"/>
    </xf>
    <xf numFmtId="167" fontId="2" fillId="0" borderId="34" xfId="0" applyNumberFormat="1" applyFont="1" applyBorder="1" applyAlignment="1" applyProtection="1">
      <alignment horizontal="center" vertical="center"/>
      <protection locked="0"/>
    </xf>
    <xf numFmtId="167" fontId="2" fillId="0" borderId="51" xfId="0" applyNumberFormat="1" applyFont="1" applyBorder="1" applyAlignment="1" applyProtection="1">
      <alignment horizontal="center" vertical="center"/>
      <protection locked="0"/>
    </xf>
    <xf numFmtId="165" fontId="2" fillId="0" borderId="33" xfId="0" applyNumberFormat="1" applyFont="1" applyBorder="1" applyAlignment="1" applyProtection="1">
      <alignment horizontal="center" vertical="center"/>
      <protection locked="0"/>
    </xf>
    <xf numFmtId="165" fontId="2" fillId="0" borderId="34" xfId="0" applyNumberFormat="1" applyFont="1" applyBorder="1" applyAlignment="1" applyProtection="1">
      <alignment horizontal="center" vertical="center"/>
      <protection locked="0"/>
    </xf>
    <xf numFmtId="165" fontId="2" fillId="0" borderId="51" xfId="0" applyNumberFormat="1" applyFont="1" applyBorder="1" applyAlignment="1" applyProtection="1">
      <alignment horizontal="center" vertical="center"/>
      <protection locked="0"/>
    </xf>
    <xf numFmtId="165" fontId="2" fillId="44" borderId="33" xfId="0" applyNumberFormat="1" applyFont="1" applyFill="1" applyBorder="1" applyAlignment="1" applyProtection="1">
      <alignment horizontal="center"/>
      <protection hidden="1"/>
    </xf>
    <xf numFmtId="165" fontId="2" fillId="44" borderId="34" xfId="0" applyNumberFormat="1" applyFont="1" applyFill="1" applyBorder="1" applyAlignment="1" applyProtection="1">
      <alignment horizontal="center"/>
      <protection hidden="1"/>
    </xf>
    <xf numFmtId="165" fontId="2" fillId="44" borderId="51" xfId="0" applyNumberFormat="1" applyFont="1" applyFill="1" applyBorder="1" applyAlignment="1" applyProtection="1">
      <alignment horizontal="center"/>
      <protection hidden="1"/>
    </xf>
    <xf numFmtId="167" fontId="2" fillId="44" borderId="33" xfId="0" applyNumberFormat="1" applyFont="1" applyFill="1" applyBorder="1" applyAlignment="1" applyProtection="1">
      <alignment horizontal="center" vertical="center"/>
      <protection hidden="1"/>
    </xf>
    <xf numFmtId="167" fontId="2" fillId="44" borderId="34" xfId="0" applyNumberFormat="1" applyFont="1" applyFill="1" applyBorder="1" applyAlignment="1" applyProtection="1">
      <alignment horizontal="center" vertical="center"/>
      <protection hidden="1"/>
    </xf>
    <xf numFmtId="167" fontId="2" fillId="44" borderId="51" xfId="0" applyNumberFormat="1" applyFont="1" applyFill="1" applyBorder="1" applyAlignment="1" applyProtection="1">
      <alignment horizontal="center" vertical="center"/>
      <protection hidden="1"/>
    </xf>
    <xf numFmtId="0" fontId="2" fillId="33" borderId="18"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locked="0"/>
    </xf>
    <xf numFmtId="0" fontId="2" fillId="34" borderId="34" xfId="0" applyFont="1" applyFill="1" applyBorder="1" applyAlignment="1" applyProtection="1">
      <alignment horizontal="center" vertical="center"/>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13" fillId="44" borderId="17" xfId="0" applyFont="1" applyFill="1" applyBorder="1" applyAlignment="1" applyProtection="1">
      <alignment horizontal="center" vertical="center"/>
      <protection hidden="1"/>
    </xf>
    <xf numFmtId="0" fontId="6" fillId="34" borderId="33" xfId="0" applyFont="1" applyFill="1" applyBorder="1" applyAlignment="1" applyProtection="1">
      <alignment horizontal="left" vertical="top" wrapText="1"/>
      <protection locked="0"/>
    </xf>
    <xf numFmtId="0" fontId="6" fillId="34" borderId="34" xfId="0" applyFont="1" applyFill="1" applyBorder="1" applyAlignment="1" applyProtection="1">
      <alignment horizontal="left" vertical="top"/>
      <protection locked="0"/>
    </xf>
    <xf numFmtId="0" fontId="6" fillId="34" borderId="51" xfId="0" applyFont="1" applyFill="1" applyBorder="1" applyAlignment="1" applyProtection="1">
      <alignment horizontal="left" vertical="top"/>
      <protection locked="0"/>
    </xf>
    <xf numFmtId="0" fontId="12" fillId="45" borderId="0" xfId="0" applyFont="1" applyFill="1" applyAlignment="1">
      <alignment horizontal="left" vertical="center"/>
    </xf>
    <xf numFmtId="0" fontId="6" fillId="0" borderId="33"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2" fillId="33" borderId="0" xfId="0" applyFont="1" applyFill="1" applyAlignment="1">
      <alignment horizontal="center" vertical="center"/>
    </xf>
    <xf numFmtId="0" fontId="2" fillId="44" borderId="33" xfId="0" applyFont="1" applyFill="1" applyBorder="1" applyAlignment="1" applyProtection="1">
      <alignment horizontal="left" vertical="center"/>
      <protection hidden="1"/>
    </xf>
    <xf numFmtId="0" fontId="2" fillId="44" borderId="34" xfId="0" applyFont="1" applyFill="1" applyBorder="1" applyAlignment="1" applyProtection="1">
      <alignment horizontal="left" vertical="center"/>
      <protection hidden="1"/>
    </xf>
    <xf numFmtId="0" fontId="2" fillId="44" borderId="51" xfId="0" applyFont="1" applyFill="1" applyBorder="1" applyAlignment="1" applyProtection="1">
      <alignment horizontal="left" vertical="center"/>
      <protection hidden="1"/>
    </xf>
    <xf numFmtId="0" fontId="2" fillId="39" borderId="130" xfId="0" applyFont="1" applyFill="1" applyBorder="1" applyAlignment="1" applyProtection="1">
      <alignment horizontal="center" vertical="center" textRotation="90"/>
      <protection/>
    </xf>
    <xf numFmtId="0" fontId="2" fillId="39" borderId="21" xfId="0" applyFont="1" applyFill="1" applyBorder="1" applyAlignment="1" applyProtection="1">
      <alignment horizontal="center" vertical="center" textRotation="90"/>
      <protection/>
    </xf>
    <xf numFmtId="0" fontId="2" fillId="39" borderId="131" xfId="0" applyFont="1" applyFill="1" applyBorder="1" applyAlignment="1" applyProtection="1">
      <alignment horizontal="center" vertical="center" textRotation="90"/>
      <protection/>
    </xf>
    <xf numFmtId="0" fontId="7" fillId="54" borderId="37" xfId="0" applyFont="1" applyFill="1" applyBorder="1" applyAlignment="1" applyProtection="1">
      <alignment horizontal="left" vertical="center"/>
      <protection/>
    </xf>
    <xf numFmtId="0" fontId="7" fillId="54" borderId="0" xfId="0" applyFont="1" applyFill="1" applyBorder="1" applyAlignment="1" applyProtection="1">
      <alignment horizontal="left" vertical="center"/>
      <protection/>
    </xf>
    <xf numFmtId="0" fontId="2" fillId="0" borderId="21" xfId="0" applyFont="1" applyBorder="1" applyAlignment="1" applyProtection="1">
      <alignment/>
      <protection/>
    </xf>
    <xf numFmtId="0" fontId="2" fillId="34" borderId="33" xfId="0" applyFont="1" applyFill="1" applyBorder="1" applyAlignment="1" applyProtection="1">
      <alignment horizontal="left" vertical="center"/>
      <protection locked="0"/>
    </xf>
    <xf numFmtId="0" fontId="2" fillId="34" borderId="34" xfId="0" applyFont="1" applyFill="1" applyBorder="1" applyAlignment="1" applyProtection="1">
      <alignment horizontal="left" vertical="center"/>
      <protection locked="0"/>
    </xf>
    <xf numFmtId="0" fontId="2" fillId="34" borderId="51" xfId="0" applyFont="1" applyFill="1" applyBorder="1" applyAlignment="1" applyProtection="1">
      <alignment horizontal="left" vertical="center"/>
      <protection locked="0"/>
    </xf>
    <xf numFmtId="165" fontId="2" fillId="0" borderId="33" xfId="0" applyNumberFormat="1" applyFont="1" applyBorder="1" applyAlignment="1" applyProtection="1">
      <alignment horizontal="right" vertical="center"/>
      <protection locked="0"/>
    </xf>
    <xf numFmtId="165" fontId="2" fillId="0" borderId="34" xfId="0" applyNumberFormat="1" applyFont="1" applyBorder="1" applyAlignment="1" applyProtection="1">
      <alignment horizontal="right" vertical="center"/>
      <protection locked="0"/>
    </xf>
    <xf numFmtId="165" fontId="2" fillId="0" borderId="51" xfId="0" applyNumberFormat="1" applyFont="1" applyBorder="1" applyAlignment="1" applyProtection="1">
      <alignment horizontal="right" vertical="center"/>
      <protection locked="0"/>
    </xf>
    <xf numFmtId="165" fontId="2" fillId="44" borderId="33" xfId="0" applyNumberFormat="1" applyFont="1" applyFill="1" applyBorder="1" applyAlignment="1" applyProtection="1">
      <alignment horizontal="right" vertical="center"/>
      <protection hidden="1"/>
    </xf>
    <xf numFmtId="165" fontId="2" fillId="44" borderId="34" xfId="0" applyNumberFormat="1" applyFont="1" applyFill="1" applyBorder="1" applyAlignment="1" applyProtection="1">
      <alignment horizontal="right" vertical="center"/>
      <protection hidden="1"/>
    </xf>
    <xf numFmtId="165" fontId="2" fillId="44" borderId="51" xfId="0" applyNumberFormat="1" applyFont="1" applyFill="1" applyBorder="1" applyAlignment="1" applyProtection="1">
      <alignment horizontal="right" vertical="center"/>
      <protection hidden="1"/>
    </xf>
    <xf numFmtId="0" fontId="2" fillId="39" borderId="33" xfId="0" applyFont="1" applyFill="1" applyBorder="1" applyAlignment="1" applyProtection="1">
      <alignment horizontal="center" vertical="center"/>
      <protection/>
    </xf>
    <xf numFmtId="0" fontId="2" fillId="39" borderId="34" xfId="0" applyFont="1" applyFill="1" applyBorder="1" applyAlignment="1" applyProtection="1">
      <alignment horizontal="center" vertical="center"/>
      <protection/>
    </xf>
    <xf numFmtId="0" fontId="2" fillId="39" borderId="51" xfId="0" applyFont="1" applyFill="1" applyBorder="1" applyAlignment="1" applyProtection="1">
      <alignment horizontal="center" vertical="center"/>
      <protection/>
    </xf>
    <xf numFmtId="165" fontId="2" fillId="34" borderId="35" xfId="0" applyNumberFormat="1" applyFont="1" applyFill="1" applyBorder="1" applyAlignment="1" applyProtection="1">
      <alignment horizontal="center" vertical="center"/>
      <protection locked="0"/>
    </xf>
    <xf numFmtId="165" fontId="2" fillId="34" borderId="22" xfId="0" applyNumberFormat="1" applyFont="1" applyFill="1" applyBorder="1" applyAlignment="1" applyProtection="1">
      <alignment horizontal="center" vertical="center"/>
      <protection locked="0"/>
    </xf>
    <xf numFmtId="165" fontId="2" fillId="34" borderId="36" xfId="0" applyNumberFormat="1" applyFont="1" applyFill="1" applyBorder="1" applyAlignment="1" applyProtection="1">
      <alignment horizontal="center" vertical="center"/>
      <protection locked="0"/>
    </xf>
    <xf numFmtId="169" fontId="2" fillId="55" borderId="34" xfId="0" applyNumberFormat="1" applyFont="1" applyFill="1" applyBorder="1" applyAlignment="1" applyProtection="1">
      <alignment horizontal="center" vertical="center"/>
      <protection/>
    </xf>
    <xf numFmtId="169" fontId="2" fillId="55" borderId="51" xfId="0" applyNumberFormat="1" applyFont="1" applyFill="1" applyBorder="1" applyAlignment="1" applyProtection="1">
      <alignment horizontal="center" vertical="center"/>
      <protection/>
    </xf>
    <xf numFmtId="0" fontId="2" fillId="39" borderId="33" xfId="0" applyFont="1" applyFill="1" applyBorder="1" applyAlignment="1" applyProtection="1">
      <alignment horizontal="left" vertical="center"/>
      <protection/>
    </xf>
    <xf numFmtId="0" fontId="2" fillId="39" borderId="34" xfId="0" applyFont="1" applyFill="1" applyBorder="1" applyAlignment="1" applyProtection="1">
      <alignment horizontal="left" vertical="center"/>
      <protection/>
    </xf>
    <xf numFmtId="0" fontId="2" fillId="39" borderId="51" xfId="0" applyFont="1" applyFill="1" applyBorder="1" applyAlignment="1" applyProtection="1">
      <alignment horizontal="left" vertical="center"/>
      <protection/>
    </xf>
    <xf numFmtId="0" fontId="2" fillId="44" borderId="33" xfId="0" applyFont="1" applyFill="1" applyBorder="1" applyAlignment="1" applyProtection="1">
      <alignment horizontal="center" vertical="center"/>
      <protection/>
    </xf>
    <xf numFmtId="0" fontId="2" fillId="44" borderId="34" xfId="0" applyFont="1" applyFill="1" applyBorder="1" applyAlignment="1" applyProtection="1">
      <alignment horizontal="center" vertical="center"/>
      <protection/>
    </xf>
    <xf numFmtId="0" fontId="2" fillId="44" borderId="51" xfId="0" applyFont="1" applyFill="1" applyBorder="1" applyAlignment="1" applyProtection="1">
      <alignment horizontal="center" vertical="center"/>
      <protection/>
    </xf>
    <xf numFmtId="14" fontId="6" fillId="0" borderId="33" xfId="0" applyNumberFormat="1" applyFont="1" applyBorder="1" applyAlignment="1" applyProtection="1">
      <alignment horizontal="center"/>
      <protection locked="0"/>
    </xf>
    <xf numFmtId="14" fontId="6" fillId="0" borderId="34" xfId="0" applyNumberFormat="1" applyFont="1" applyBorder="1" applyAlignment="1" applyProtection="1">
      <alignment horizontal="center"/>
      <protection locked="0"/>
    </xf>
    <xf numFmtId="0" fontId="2" fillId="39" borderId="14" xfId="0" applyFont="1" applyFill="1" applyBorder="1" applyAlignment="1" applyProtection="1">
      <alignment horizontal="center" vertical="center" textRotation="90"/>
      <protection/>
    </xf>
    <xf numFmtId="0" fontId="2" fillId="39" borderId="16" xfId="0" applyFont="1" applyFill="1" applyBorder="1" applyAlignment="1" applyProtection="1">
      <alignment horizontal="center" vertical="center" textRotation="90"/>
      <protection/>
    </xf>
    <xf numFmtId="0" fontId="6" fillId="34" borderId="11" xfId="0" applyFont="1" applyFill="1" applyBorder="1" applyAlignment="1" applyProtection="1">
      <alignment horizontal="center"/>
      <protection/>
    </xf>
    <xf numFmtId="0" fontId="7" fillId="45" borderId="39" xfId="0" applyFont="1" applyFill="1" applyBorder="1" applyAlignment="1" applyProtection="1">
      <alignment horizontal="left" vertical="center"/>
      <protection/>
    </xf>
    <xf numFmtId="0" fontId="7" fillId="45" borderId="25" xfId="0" applyFont="1" applyFill="1" applyBorder="1" applyAlignment="1" applyProtection="1">
      <alignment horizontal="left" vertical="center"/>
      <protection/>
    </xf>
    <xf numFmtId="0" fontId="7" fillId="45" borderId="40" xfId="0" applyFont="1" applyFill="1" applyBorder="1" applyAlignment="1" applyProtection="1">
      <alignment horizontal="left" vertical="center"/>
      <protection/>
    </xf>
    <xf numFmtId="0" fontId="13" fillId="0" borderId="39" xfId="0" applyFont="1" applyFill="1" applyBorder="1" applyAlignment="1" applyProtection="1">
      <alignment horizontal="right" vertical="center"/>
      <protection/>
    </xf>
    <xf numFmtId="0" fontId="13" fillId="0" borderId="25" xfId="0" applyFont="1" applyFill="1" applyBorder="1" applyAlignment="1" applyProtection="1">
      <alignment horizontal="right" vertical="center"/>
      <protection/>
    </xf>
    <xf numFmtId="165" fontId="13" fillId="53" borderId="39" xfId="0" applyNumberFormat="1" applyFont="1" applyFill="1" applyBorder="1" applyAlignment="1" applyProtection="1">
      <alignment horizontal="center" vertical="center"/>
      <protection/>
    </xf>
    <xf numFmtId="165" fontId="13" fillId="53" borderId="25" xfId="0" applyNumberFormat="1" applyFont="1" applyFill="1" applyBorder="1" applyAlignment="1" applyProtection="1">
      <alignment horizontal="center" vertical="center"/>
      <protection/>
    </xf>
    <xf numFmtId="165" fontId="13" fillId="53" borderId="40" xfId="0" applyNumberFormat="1"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2" fillId="44" borderId="33" xfId="0" applyFont="1" applyFill="1" applyBorder="1" applyAlignment="1" applyProtection="1">
      <alignment horizontal="left" vertical="center"/>
      <protection/>
    </xf>
    <xf numFmtId="0" fontId="2" fillId="44" borderId="34" xfId="0" applyFont="1" applyFill="1" applyBorder="1" applyAlignment="1" applyProtection="1">
      <alignment horizontal="left" vertical="center"/>
      <protection/>
    </xf>
    <xf numFmtId="0" fontId="2" fillId="44" borderId="51" xfId="0" applyFont="1" applyFill="1" applyBorder="1" applyAlignment="1" applyProtection="1">
      <alignment horizontal="left" vertical="center"/>
      <protection/>
    </xf>
    <xf numFmtId="0" fontId="2" fillId="39" borderId="33" xfId="0" applyFont="1" applyFill="1" applyBorder="1" applyAlignment="1" applyProtection="1">
      <alignment horizontal="left" vertical="center"/>
      <protection hidden="1"/>
    </xf>
    <xf numFmtId="0" fontId="2" fillId="39" borderId="34" xfId="0" applyFont="1" applyFill="1" applyBorder="1" applyAlignment="1" applyProtection="1">
      <alignment horizontal="left" vertical="center"/>
      <protection hidden="1"/>
    </xf>
    <xf numFmtId="0" fontId="2" fillId="39" borderId="51" xfId="0" applyFont="1" applyFill="1" applyBorder="1" applyAlignment="1" applyProtection="1">
      <alignment horizontal="left" vertical="center"/>
      <protection hidden="1"/>
    </xf>
    <xf numFmtId="0" fontId="6" fillId="0" borderId="33" xfId="0" applyNumberFormat="1" applyFont="1" applyBorder="1" applyAlignment="1" applyProtection="1">
      <alignment horizontal="center"/>
      <protection locked="0"/>
    </xf>
    <xf numFmtId="0" fontId="6" fillId="0" borderId="34"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13" fillId="44" borderId="33" xfId="0" applyFont="1" applyFill="1" applyBorder="1" applyAlignment="1" applyProtection="1">
      <alignment horizontal="right" vertical="center"/>
      <protection/>
    </xf>
    <xf numFmtId="0" fontId="13" fillId="44" borderId="34" xfId="0" applyFont="1" applyFill="1" applyBorder="1" applyAlignment="1" applyProtection="1">
      <alignment horizontal="right" vertical="center"/>
      <protection/>
    </xf>
    <xf numFmtId="0" fontId="13" fillId="44" borderId="51" xfId="0" applyFont="1" applyFill="1" applyBorder="1" applyAlignment="1" applyProtection="1">
      <alignment horizontal="right" vertical="center"/>
      <protection/>
    </xf>
    <xf numFmtId="0" fontId="4" fillId="39" borderId="21" xfId="0" applyFont="1" applyFill="1" applyBorder="1" applyAlignment="1" applyProtection="1">
      <alignment horizontal="center" vertical="center" textRotation="90"/>
      <protection/>
    </xf>
    <xf numFmtId="0" fontId="4" fillId="39" borderId="16" xfId="0" applyFont="1" applyFill="1" applyBorder="1" applyAlignment="1" applyProtection="1">
      <alignment horizontal="center" vertical="center" textRotation="90"/>
      <protection/>
    </xf>
    <xf numFmtId="0" fontId="2" fillId="56" borderId="33" xfId="0" applyFont="1" applyFill="1" applyBorder="1" applyAlignment="1">
      <alignment horizontal="center"/>
    </xf>
    <xf numFmtId="0" fontId="2" fillId="56" borderId="51" xfId="0" applyFont="1" applyFill="1" applyBorder="1" applyAlignment="1">
      <alignment horizontal="center"/>
    </xf>
    <xf numFmtId="0" fontId="2" fillId="33" borderId="18" xfId="0" applyFont="1" applyFill="1" applyBorder="1" applyAlignment="1" applyProtection="1">
      <alignment horizontal="center" vertical="center"/>
      <protection/>
    </xf>
    <xf numFmtId="0" fontId="13" fillId="44" borderId="33" xfId="0" applyFont="1" applyFill="1" applyBorder="1" applyAlignment="1" applyProtection="1">
      <alignment horizontal="right" vertical="center"/>
      <protection hidden="1"/>
    </xf>
    <xf numFmtId="0" fontId="13" fillId="44" borderId="34" xfId="0" applyFont="1" applyFill="1" applyBorder="1" applyAlignment="1" applyProtection="1">
      <alignment horizontal="right" vertical="center"/>
      <protection hidden="1"/>
    </xf>
    <xf numFmtId="0" fontId="13" fillId="44" borderId="51" xfId="0" applyFont="1" applyFill="1" applyBorder="1" applyAlignment="1" applyProtection="1">
      <alignment horizontal="right" vertical="center"/>
      <protection hidden="1"/>
    </xf>
    <xf numFmtId="0" fontId="11" fillId="34" borderId="33" xfId="44" applyFill="1" applyBorder="1" applyAlignment="1" applyProtection="1">
      <alignment horizontal="left" vertical="center"/>
      <protection locked="0"/>
    </xf>
    <xf numFmtId="170" fontId="6" fillId="0" borderId="33" xfId="0" applyNumberFormat="1" applyFont="1" applyBorder="1" applyAlignment="1" applyProtection="1">
      <alignment horizontal="center" vertical="center"/>
      <protection locked="0"/>
    </xf>
    <xf numFmtId="170" fontId="6" fillId="0" borderId="34" xfId="0" applyNumberFormat="1" applyFont="1" applyBorder="1" applyAlignment="1" applyProtection="1">
      <alignment horizontal="center" vertical="center"/>
      <protection locked="0"/>
    </xf>
    <xf numFmtId="170" fontId="6" fillId="0" borderId="51" xfId="0" applyNumberFormat="1" applyFont="1" applyBorder="1" applyAlignment="1" applyProtection="1">
      <alignment horizontal="center" vertical="center"/>
      <protection locked="0"/>
    </xf>
    <xf numFmtId="0" fontId="7" fillId="45" borderId="39" xfId="0" applyFont="1" applyFill="1" applyBorder="1" applyAlignment="1" applyProtection="1">
      <alignment horizontal="left" vertical="center"/>
      <protection hidden="1"/>
    </xf>
    <xf numFmtId="0" fontId="7" fillId="45" borderId="25" xfId="0" applyFont="1" applyFill="1" applyBorder="1" applyAlignment="1" applyProtection="1">
      <alignment horizontal="left" vertical="center"/>
      <protection hidden="1"/>
    </xf>
    <xf numFmtId="0" fontId="4" fillId="39" borderId="130" xfId="0" applyFont="1" applyFill="1" applyBorder="1" applyAlignment="1" applyProtection="1">
      <alignment horizontal="center" vertical="center" textRotation="90"/>
      <protection/>
    </xf>
    <xf numFmtId="0" fontId="4" fillId="39" borderId="131" xfId="0" applyFont="1" applyFill="1" applyBorder="1" applyAlignment="1" applyProtection="1">
      <alignment horizontal="center" vertical="center" textRotation="90"/>
      <protection/>
    </xf>
    <xf numFmtId="0" fontId="4" fillId="39" borderId="14" xfId="0" applyFont="1" applyFill="1" applyBorder="1" applyAlignment="1" applyProtection="1">
      <alignment horizontal="center" vertical="center" textRotation="90"/>
      <protection/>
    </xf>
    <xf numFmtId="0" fontId="2" fillId="0" borderId="131" xfId="0" applyFont="1" applyBorder="1" applyAlignment="1" applyProtection="1">
      <alignment/>
      <protection/>
    </xf>
    <xf numFmtId="0" fontId="7" fillId="54" borderId="38" xfId="0" applyFont="1" applyFill="1" applyBorder="1" applyAlignment="1" applyProtection="1">
      <alignment horizontal="left" vertical="center"/>
      <protection/>
    </xf>
    <xf numFmtId="168" fontId="2" fillId="33" borderId="18" xfId="0" applyNumberFormat="1" applyFont="1" applyFill="1" applyBorder="1" applyAlignment="1" applyProtection="1">
      <alignment horizontal="center" vertical="center"/>
      <protection/>
    </xf>
    <xf numFmtId="173" fontId="2" fillId="44" borderId="33" xfId="0" applyNumberFormat="1" applyFont="1" applyFill="1" applyBorder="1" applyAlignment="1" applyProtection="1">
      <alignment horizontal="center" vertical="center"/>
      <protection hidden="1"/>
    </xf>
    <xf numFmtId="173" fontId="2" fillId="44" borderId="34" xfId="0" applyNumberFormat="1" applyFont="1" applyFill="1" applyBorder="1" applyAlignment="1" applyProtection="1">
      <alignment horizontal="center" vertical="center"/>
      <protection hidden="1"/>
    </xf>
    <xf numFmtId="173" fontId="2" fillId="44" borderId="51" xfId="0" applyNumberFormat="1" applyFont="1" applyFill="1" applyBorder="1" applyAlignment="1" applyProtection="1">
      <alignment horizontal="center" vertical="center"/>
      <protection hidden="1"/>
    </xf>
    <xf numFmtId="0" fontId="7" fillId="45" borderId="40" xfId="0" applyFont="1" applyFill="1" applyBorder="1" applyAlignment="1" applyProtection="1">
      <alignment horizontal="left" vertical="center"/>
      <protection hidden="1"/>
    </xf>
    <xf numFmtId="0" fontId="2" fillId="39" borderId="33" xfId="0" applyFont="1" applyFill="1" applyBorder="1" applyAlignment="1" applyProtection="1">
      <alignment horizontal="center"/>
      <protection hidden="1"/>
    </xf>
    <xf numFmtId="0" fontId="2" fillId="39" borderId="34" xfId="0" applyFont="1" applyFill="1" applyBorder="1" applyAlignment="1" applyProtection="1">
      <alignment horizontal="center"/>
      <protection hidden="1"/>
    </xf>
    <xf numFmtId="0" fontId="2" fillId="39" borderId="51" xfId="0" applyFont="1" applyFill="1" applyBorder="1" applyAlignment="1" applyProtection="1">
      <alignment horizontal="center"/>
      <protection hidden="1"/>
    </xf>
    <xf numFmtId="165" fontId="2" fillId="44" borderId="33" xfId="0" applyNumberFormat="1" applyFont="1" applyFill="1" applyBorder="1" applyAlignment="1" applyProtection="1">
      <alignment horizontal="right"/>
      <protection hidden="1"/>
    </xf>
    <xf numFmtId="165" fontId="2" fillId="44" borderId="34" xfId="0" applyNumberFormat="1" applyFont="1" applyFill="1" applyBorder="1" applyAlignment="1" applyProtection="1">
      <alignment horizontal="right"/>
      <protection hidden="1"/>
    </xf>
    <xf numFmtId="165" fontId="2" fillId="44" borderId="51" xfId="0" applyNumberFormat="1" applyFont="1" applyFill="1" applyBorder="1" applyAlignment="1" applyProtection="1">
      <alignment horizontal="right"/>
      <protection hidden="1"/>
    </xf>
    <xf numFmtId="165" fontId="2" fillId="57" borderId="34" xfId="0" applyNumberFormat="1" applyFont="1" applyFill="1" applyBorder="1" applyAlignment="1" applyProtection="1">
      <alignment horizontal="right" vertical="center"/>
      <protection hidden="1"/>
    </xf>
    <xf numFmtId="165" fontId="2" fillId="57" borderId="51" xfId="0" applyNumberFormat="1" applyFont="1" applyFill="1" applyBorder="1" applyAlignment="1" applyProtection="1">
      <alignment horizontal="right" vertical="center"/>
      <protection hidden="1"/>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51" xfId="0" applyFont="1" applyFill="1" applyBorder="1" applyAlignment="1" applyProtection="1">
      <alignment vertical="center"/>
      <protection locked="0"/>
    </xf>
    <xf numFmtId="0" fontId="2" fillId="34" borderId="22" xfId="0" applyFont="1" applyFill="1" applyBorder="1" applyAlignment="1">
      <alignment horizontal="center" vertical="center"/>
    </xf>
    <xf numFmtId="0" fontId="4" fillId="0" borderId="41" xfId="53" applyFont="1"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1" xfId="53" applyFont="1" applyBorder="1" applyAlignment="1" applyProtection="1">
      <alignment horizontal="center" vertical="center" textRotation="90" wrapText="1"/>
      <protection hidden="1"/>
    </xf>
    <xf numFmtId="0" fontId="4" fillId="0" borderId="42" xfId="53" applyFont="1" applyBorder="1" applyAlignment="1" applyProtection="1">
      <alignment horizontal="center" vertical="center" textRotation="90" wrapText="1"/>
      <protection hidden="1"/>
    </xf>
    <xf numFmtId="0" fontId="4" fillId="0" borderId="41" xfId="53" applyFont="1" applyBorder="1" applyAlignment="1" applyProtection="1">
      <alignment horizontal="center" vertical="center" textRotation="90"/>
      <protection hidden="1"/>
    </xf>
    <xf numFmtId="0" fontId="4" fillId="0" borderId="42"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protection hidden="1"/>
    </xf>
    <xf numFmtId="0" fontId="4" fillId="0" borderId="41" xfId="53" applyFont="1" applyBorder="1" applyAlignment="1" applyProtection="1">
      <alignment horizontal="center" vertical="center"/>
      <protection hidden="1"/>
    </xf>
    <xf numFmtId="0" fontId="4" fillId="0" borderId="42" xfId="53" applyFont="1" applyBorder="1" applyAlignment="1" applyProtection="1">
      <alignment horizontal="center" vertical="center"/>
      <protection hidden="1"/>
    </xf>
    <xf numFmtId="0" fontId="4" fillId="0" borderId="43" xfId="53" applyFont="1" applyBorder="1" applyAlignment="1" applyProtection="1">
      <alignment horizontal="center" vertical="center"/>
      <protection hidden="1"/>
    </xf>
    <xf numFmtId="0" fontId="4" fillId="0" borderId="43" xfId="53" applyFont="1" applyBorder="1" applyAlignment="1" applyProtection="1">
      <alignment horizontal="center" vertical="center" textRotation="90" wrapText="1"/>
      <protection hidden="1"/>
    </xf>
    <xf numFmtId="0" fontId="6" fillId="0" borderId="42" xfId="53" applyBorder="1" applyAlignment="1" applyProtection="1">
      <alignment horizontal="center" vertical="center" textRotation="90" wrapText="1"/>
      <protection hidden="1"/>
    </xf>
    <xf numFmtId="0" fontId="6" fillId="0" borderId="43" xfId="53" applyBorder="1" applyAlignment="1" applyProtection="1">
      <alignment horizontal="center" vertical="center" textRotation="90" wrapText="1"/>
      <protection hidden="1"/>
    </xf>
    <xf numFmtId="0" fontId="4" fillId="0" borderId="33" xfId="53" applyFont="1" applyBorder="1" applyAlignment="1" applyProtection="1">
      <alignment horizontal="center" vertical="center"/>
      <protection hidden="1"/>
    </xf>
    <xf numFmtId="0" fontId="4" fillId="0" borderId="51" xfId="53" applyFont="1" applyBorder="1" applyAlignment="1" applyProtection="1">
      <alignment horizontal="center" vertical="center"/>
      <protection hidden="1"/>
    </xf>
    <xf numFmtId="0" fontId="4" fillId="0" borderId="34" xfId="53" applyFont="1" applyBorder="1" applyAlignment="1" applyProtection="1">
      <alignment horizontal="center" vertical="center"/>
      <protection hidden="1"/>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2" xfId="53" applyFont="1" applyBorder="1" applyAlignment="1" applyProtection="1">
      <alignment horizontal="center" vertical="center" wrapText="1"/>
      <protection hidden="1"/>
    </xf>
    <xf numFmtId="0" fontId="6" fillId="0" borderId="25" xfId="53" applyBorder="1" applyProtection="1">
      <alignment/>
      <protection locked="0"/>
    </xf>
    <xf numFmtId="0" fontId="2" fillId="0" borderId="25" xfId="53" applyFont="1" applyBorder="1" applyAlignment="1" applyProtection="1">
      <alignment horizontal="left"/>
      <protection hidden="1"/>
    </xf>
    <xf numFmtId="0" fontId="6" fillId="0" borderId="34" xfId="53" applyBorder="1" applyAlignment="1" applyProtection="1">
      <alignment horizontal="left"/>
      <protection locked="0"/>
    </xf>
    <xf numFmtId="0" fontId="15" fillId="0" borderId="33" xfId="53" applyFont="1" applyBorder="1" applyAlignment="1" applyProtection="1">
      <alignment horizontal="center" vertical="center" wrapText="1"/>
      <protection hidden="1"/>
    </xf>
    <xf numFmtId="0" fontId="15" fillId="0" borderId="34" xfId="53" applyFont="1" applyBorder="1" applyAlignment="1" applyProtection="1">
      <alignment horizontal="center" vertical="center" wrapText="1"/>
      <protection hidden="1"/>
    </xf>
    <xf numFmtId="0" fontId="15" fillId="0" borderId="51" xfId="53" applyFont="1" applyBorder="1" applyAlignment="1" applyProtection="1">
      <alignment horizontal="center" vertical="center" wrapText="1"/>
      <protection hidden="1"/>
    </xf>
    <xf numFmtId="0" fontId="4" fillId="0" borderId="33" xfId="53" applyFont="1" applyBorder="1" applyAlignment="1" applyProtection="1">
      <alignment horizontal="center" vertical="center" wrapText="1"/>
      <protection hidden="1"/>
    </xf>
    <xf numFmtId="0" fontId="6" fillId="0" borderId="34" xfId="53" applyBorder="1" applyAlignment="1" applyProtection="1">
      <alignment horizontal="center" vertical="center"/>
      <protection hidden="1"/>
    </xf>
    <xf numFmtId="0" fontId="6" fillId="0" borderId="51" xfId="53" applyBorder="1" applyAlignment="1" applyProtection="1">
      <alignment horizontal="center" vertical="center"/>
      <protection hidden="1"/>
    </xf>
    <xf numFmtId="0" fontId="6" fillId="0" borderId="51" xfId="53" applyBorder="1" applyAlignment="1" applyProtection="1">
      <alignment horizontal="center" vertical="center" wrapText="1"/>
      <protection hidden="1"/>
    </xf>
    <xf numFmtId="0" fontId="4" fillId="0" borderId="37" xfId="53" applyFont="1" applyBorder="1" applyAlignment="1" applyProtection="1">
      <alignment horizontal="center" vertical="center" wrapText="1"/>
      <protection hidden="1"/>
    </xf>
    <xf numFmtId="0" fontId="6" fillId="0" borderId="39" xfId="53" applyBorder="1" applyAlignment="1" applyProtection="1">
      <alignment horizontal="center" vertical="center" wrapText="1"/>
      <protection hidden="1"/>
    </xf>
    <xf numFmtId="0" fontId="6" fillId="0" borderId="42" xfId="53" applyBorder="1" applyAlignment="1" applyProtection="1">
      <alignment horizontal="center" vertical="center" wrapText="1"/>
      <protection hidden="1"/>
    </xf>
    <xf numFmtId="0" fontId="6" fillId="0" borderId="42" xfId="53" applyBorder="1" applyAlignment="1" applyProtection="1">
      <alignment horizontal="center" vertical="center"/>
      <protection hidden="1"/>
    </xf>
    <xf numFmtId="0" fontId="8" fillId="0" borderId="0" xfId="54" applyFont="1" applyAlignment="1" applyProtection="1">
      <alignment horizontal="center"/>
      <protection hidden="1"/>
    </xf>
    <xf numFmtId="173" fontId="21" fillId="0" borderId="132" xfId="54" applyNumberFormat="1" applyFont="1" applyBorder="1" applyAlignment="1" applyProtection="1">
      <alignment horizontal="center"/>
      <protection hidden="1"/>
    </xf>
    <xf numFmtId="173" fontId="21" fillId="0" borderId="133" xfId="54" applyNumberFormat="1" applyFont="1" applyBorder="1" applyAlignment="1" applyProtection="1">
      <alignment horizontal="center"/>
      <protection hidden="1"/>
    </xf>
    <xf numFmtId="173" fontId="21" fillId="0" borderId="134" xfId="54" applyNumberFormat="1" applyFont="1" applyBorder="1" applyAlignment="1" applyProtection="1">
      <alignment horizontal="center"/>
      <protection hidden="1"/>
    </xf>
    <xf numFmtId="173" fontId="21" fillId="0" borderId="135" xfId="54" applyNumberFormat="1" applyFont="1" applyBorder="1" applyAlignment="1" applyProtection="1">
      <alignment horizontal="center"/>
      <protection hidden="1"/>
    </xf>
    <xf numFmtId="173" fontId="25" fillId="0" borderId="136" xfId="54" applyNumberFormat="1" applyFont="1" applyBorder="1" applyAlignment="1" applyProtection="1">
      <alignment horizontal="center"/>
      <protection hidden="1"/>
    </xf>
    <xf numFmtId="173" fontId="25" fillId="0" borderId="137" xfId="54" applyNumberFormat="1" applyFont="1" applyBorder="1" applyAlignment="1" applyProtection="1">
      <alignment horizontal="center"/>
      <protection hidden="1"/>
    </xf>
    <xf numFmtId="0" fontId="6" fillId="0" borderId="10" xfId="54" applyBorder="1" applyAlignment="1" applyProtection="1">
      <alignment horizontal="center"/>
      <protection hidden="1"/>
    </xf>
    <xf numFmtId="0" fontId="6" fillId="0" borderId="11" xfId="54" applyBorder="1" applyAlignment="1" applyProtection="1">
      <alignment horizontal="center"/>
      <protection hidden="1"/>
    </xf>
    <xf numFmtId="0" fontId="6" fillId="0" borderId="39" xfId="54" applyBorder="1" applyAlignment="1" applyProtection="1">
      <alignment horizontal="center" vertical="center"/>
      <protection hidden="1"/>
    </xf>
    <xf numFmtId="0" fontId="6" fillId="0" borderId="25" xfId="54" applyBorder="1" applyAlignment="1" applyProtection="1">
      <alignment horizontal="center" vertical="center"/>
      <protection hidden="1"/>
    </xf>
    <xf numFmtId="0" fontId="6" fillId="0" borderId="40" xfId="54" applyBorder="1" applyAlignment="1" applyProtection="1">
      <alignment horizontal="center" vertical="center"/>
      <protection hidden="1"/>
    </xf>
    <xf numFmtId="0" fontId="6" fillId="0" borderId="33" xfId="54" applyBorder="1" applyAlignment="1" applyProtection="1">
      <alignment horizontal="center"/>
      <protection hidden="1"/>
    </xf>
    <xf numFmtId="0" fontId="6" fillId="0" borderId="34" xfId="54" applyBorder="1" applyAlignment="1" applyProtection="1">
      <alignment horizontal="center"/>
      <protection hidden="1"/>
    </xf>
    <xf numFmtId="0" fontId="6" fillId="0" borderId="51" xfId="54" applyBorder="1" applyAlignment="1" applyProtection="1">
      <alignment horizontal="center"/>
      <protection hidden="1"/>
    </xf>
    <xf numFmtId="0" fontId="6" fillId="0" borderId="138" xfId="54" applyBorder="1" applyAlignment="1" applyProtection="1">
      <alignment horizontal="center"/>
      <protection hidden="1"/>
    </xf>
    <xf numFmtId="0" fontId="6" fillId="0" borderId="139" xfId="54" applyBorder="1" applyAlignment="1" applyProtection="1">
      <alignment horizontal="center"/>
      <protection hidden="1"/>
    </xf>
    <xf numFmtId="0" fontId="6" fillId="0" borderId="140" xfId="54" applyBorder="1" applyAlignment="1" applyProtection="1">
      <alignment horizontal="center"/>
      <protection hidden="1"/>
    </xf>
    <xf numFmtId="0" fontId="25" fillId="0" borderId="141" xfId="54" applyFont="1" applyBorder="1" applyProtection="1">
      <alignment/>
      <protection hidden="1"/>
    </xf>
    <xf numFmtId="0" fontId="25" fillId="0" borderId="34" xfId="54" applyFont="1" applyBorder="1" applyProtection="1">
      <alignment/>
      <protection hidden="1"/>
    </xf>
    <xf numFmtId="0" fontId="25" fillId="0" borderId="142" xfId="54" applyFont="1" applyBorder="1" applyProtection="1">
      <alignment/>
      <protection hidden="1"/>
    </xf>
    <xf numFmtId="0" fontId="6" fillId="0" borderId="25" xfId="54" applyBorder="1" applyAlignment="1" applyProtection="1">
      <alignment horizontal="left"/>
      <protection hidden="1"/>
    </xf>
    <xf numFmtId="0" fontId="27" fillId="0" borderId="138" xfId="54" applyFont="1" applyBorder="1" applyAlignment="1" applyProtection="1">
      <alignment horizontal="center" vertical="top"/>
      <protection hidden="1"/>
    </xf>
    <xf numFmtId="0" fontId="27" fillId="0" borderId="139" xfId="54" applyFont="1" applyBorder="1" applyAlignment="1" applyProtection="1">
      <alignment horizontal="center" vertical="top"/>
      <protection hidden="1"/>
    </xf>
    <xf numFmtId="0" fontId="27" fillId="0" borderId="143" xfId="54" applyFont="1" applyBorder="1" applyAlignment="1" applyProtection="1">
      <alignment horizontal="center" vertical="top"/>
      <protection hidden="1"/>
    </xf>
    <xf numFmtId="0" fontId="6" fillId="0" borderId="144" xfId="54" applyBorder="1" applyAlignment="1" applyProtection="1">
      <alignment horizontal="center"/>
      <protection hidden="1"/>
    </xf>
    <xf numFmtId="0" fontId="6" fillId="0" borderId="12" xfId="54" applyBorder="1" applyAlignment="1" applyProtection="1">
      <alignment horizontal="center"/>
      <protection hidden="1"/>
    </xf>
    <xf numFmtId="0" fontId="6" fillId="0" borderId="145" xfId="54" applyBorder="1" applyAlignment="1" applyProtection="1">
      <alignment horizontal="center"/>
      <protection hidden="1"/>
    </xf>
    <xf numFmtId="0" fontId="2" fillId="0" borderId="25" xfId="54" applyFont="1" applyBorder="1" applyAlignment="1" applyProtection="1">
      <alignment horizontal="left"/>
      <protection hidden="1"/>
    </xf>
    <xf numFmtId="0" fontId="6" fillId="0" borderId="34" xfId="54" applyBorder="1" applyAlignment="1" applyProtection="1">
      <alignment horizontal="left"/>
      <protection/>
    </xf>
    <xf numFmtId="0" fontId="27" fillId="0" borderId="140" xfId="54" applyFont="1" applyBorder="1" applyAlignment="1" applyProtection="1">
      <alignment horizontal="center" vertical="top"/>
      <protection hidden="1"/>
    </xf>
    <xf numFmtId="173" fontId="6" fillId="0" borderId="11" xfId="54" applyNumberFormat="1" applyBorder="1" applyAlignment="1" applyProtection="1">
      <alignment horizontal="center"/>
      <protection hidden="1"/>
    </xf>
    <xf numFmtId="0" fontId="21" fillId="0" borderId="16" xfId="54" applyFont="1" applyBorder="1" applyAlignment="1" applyProtection="1">
      <alignment horizontal="right"/>
      <protection hidden="1"/>
    </xf>
    <xf numFmtId="0" fontId="21" fillId="0" borderId="18" xfId="54" applyFont="1" applyBorder="1" applyAlignment="1" applyProtection="1">
      <alignment horizontal="right"/>
      <protection hidden="1"/>
    </xf>
    <xf numFmtId="0" fontId="6" fillId="0" borderId="146" xfId="54" applyBorder="1" applyAlignment="1" applyProtection="1">
      <alignment horizontal="center" vertical="center"/>
      <protection hidden="1"/>
    </xf>
    <xf numFmtId="0" fontId="6" fillId="0" borderId="147" xfId="54" applyBorder="1" applyAlignment="1" applyProtection="1">
      <alignment horizontal="center" vertical="center"/>
      <protection hidden="1"/>
    </xf>
    <xf numFmtId="0" fontId="6" fillId="0" borderId="148" xfId="54"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149" xfId="54" applyBorder="1" applyAlignment="1" applyProtection="1">
      <alignment horizontal="center" vertical="center"/>
      <protection hidden="1"/>
    </xf>
    <xf numFmtId="0" fontId="6" fillId="0" borderId="150" xfId="54" applyBorder="1" applyAlignment="1" applyProtection="1">
      <alignment horizontal="center" vertical="center"/>
      <protection hidden="1"/>
    </xf>
    <xf numFmtId="173" fontId="21" fillId="0" borderId="151" xfId="54" applyNumberFormat="1" applyFont="1" applyBorder="1" applyAlignment="1" applyProtection="1">
      <alignment horizontal="center"/>
      <protection hidden="1"/>
    </xf>
    <xf numFmtId="173" fontId="21" fillId="0" borderId="56" xfId="54" applyNumberFormat="1" applyFont="1" applyBorder="1" applyAlignment="1" applyProtection="1">
      <alignment horizontal="center"/>
      <protection hidden="1"/>
    </xf>
    <xf numFmtId="173" fontId="25" fillId="0" borderId="59" xfId="54" applyNumberFormat="1" applyFont="1" applyBorder="1" applyAlignment="1" applyProtection="1">
      <alignment horizontal="center"/>
      <protection hidden="1"/>
    </xf>
    <xf numFmtId="173" fontId="25" fillId="0" borderId="152" xfId="54" applyNumberFormat="1" applyFont="1" applyBorder="1" applyAlignment="1" applyProtection="1">
      <alignment horizontal="center"/>
      <protection hidden="1"/>
    </xf>
    <xf numFmtId="173" fontId="6" fillId="0" borderId="153" xfId="54" applyNumberFormat="1" applyBorder="1" applyAlignment="1" applyProtection="1">
      <alignment horizontal="center" vertical="center"/>
      <protection hidden="1"/>
    </xf>
    <xf numFmtId="173" fontId="6" fillId="0" borderId="78" xfId="54" applyNumberFormat="1" applyBorder="1" applyAlignment="1" applyProtection="1">
      <alignment horizontal="center" vertical="center"/>
      <protection hidden="1"/>
    </xf>
    <xf numFmtId="0" fontId="26" fillId="0" borderId="154" xfId="54" applyFont="1" applyBorder="1" applyAlignment="1" applyProtection="1">
      <alignment horizontal="right"/>
      <protection hidden="1"/>
    </xf>
    <xf numFmtId="0" fontId="26" fillId="0" borderId="63" xfId="54" applyFont="1" applyBorder="1" applyAlignment="1" applyProtection="1">
      <alignment horizontal="right"/>
      <protection hidden="1"/>
    </xf>
    <xf numFmtId="0" fontId="26" fillId="0" borderId="67" xfId="54" applyFont="1" applyBorder="1" applyAlignment="1" applyProtection="1">
      <alignment horizontal="right"/>
      <protection hidden="1"/>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0" xfId="0" applyAlignment="1">
      <alignment horizont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Monétaire 2" xfId="51"/>
    <cellStyle name="Neutre" xfId="52"/>
    <cellStyle name="Normal 2" xfId="53"/>
    <cellStyle name="Normal 3" xfId="54"/>
    <cellStyle name="Normal 3 2" xfId="55"/>
    <cellStyle name="Normal_Data" xfId="56"/>
    <cellStyle name="Normal_Data_1" xfId="57"/>
    <cellStyle name="Normal_Feuil1"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101">
    <dxf>
      <fill>
        <patternFill>
          <bgColor indexed="22"/>
        </patternFill>
      </fill>
    </dxf>
    <dxf>
      <fill>
        <patternFill patternType="none">
          <bgColor indexed="65"/>
        </patternFill>
      </fill>
    </dxf>
    <dxf>
      <fill>
        <patternFill>
          <bgColor indexed="10"/>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indexed="26"/>
        </patternFill>
      </fill>
    </dxf>
    <dxf>
      <fill>
        <patternFill>
          <bgColor indexed="10"/>
        </patternFill>
      </fill>
    </dxf>
    <dxf>
      <fill>
        <patternFill>
          <bgColor indexed="26"/>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auto="1"/>
      </font>
      <fill>
        <patternFill>
          <bgColor indexed="10"/>
        </patternFill>
      </fill>
    </dxf>
    <dxf>
      <font>
        <color auto="1"/>
      </font>
      <fill>
        <patternFill>
          <bgColor indexed="10"/>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10"/>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DDE9F7"/>
        </patternFill>
      </fill>
    </dxf>
    <dxf>
      <fill>
        <patternFill>
          <bgColor rgb="FFEAF1FA"/>
        </patternFill>
      </fill>
    </dxf>
    <dxf>
      <fill>
        <patternFill>
          <bgColor rgb="FFEDF0F3"/>
        </patternFill>
      </fill>
    </dxf>
    <dxf>
      <fill>
        <patternFill>
          <bgColor rgb="FFEDF0F3"/>
        </patternFill>
      </fill>
    </dxf>
    <dxf>
      <fill>
        <patternFill>
          <bgColor rgb="FFEDF0F3"/>
        </patternFill>
      </fill>
    </dxf>
    <dxf>
      <font>
        <color auto="1"/>
      </font>
      <fill>
        <patternFill>
          <bgColor rgb="FFFF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7" /><Relationship Id="rId3" Type="http://schemas.openxmlformats.org/officeDocument/2006/relationships/image" Target="../media/image9.png" /><Relationship Id="rId4" Type="http://schemas.openxmlformats.org/officeDocument/2006/relationships/image" Target="../media/image2.png" /><Relationship Id="rId5" Type="http://schemas.openxmlformats.org/officeDocument/2006/relationships/image" Target="../media/image5.png" /><Relationship Id="rId6" Type="http://schemas.openxmlformats.org/officeDocument/2006/relationships/image" Target="../media/image8.png" /><Relationship Id="rId7" Type="http://schemas.openxmlformats.org/officeDocument/2006/relationships/image" Target="../media/image6.png" /><Relationship Id="rId8"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2.emf" /><Relationship Id="rId4" Type="http://schemas.openxmlformats.org/officeDocument/2006/relationships/image" Target="../media/image1.png" /><Relationship Id="rId5" Type="http://schemas.openxmlformats.org/officeDocument/2006/relationships/hyperlink" Target="#Instructions!A1" /><Relationship Id="rId6" Type="http://schemas.openxmlformats.org/officeDocument/2006/relationships/hyperlink" Target="https://transitionenergetique.gouv.qc.ca/fileadmin/medias/pdf/reseau-triphase/Guide-participant-acces-reseau-triphase.pdf" TargetMode="External"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106" /><Relationship Id="rId3" Type="http://schemas.openxmlformats.org/officeDocument/2006/relationships/image" Target="../media/image9.png" /><Relationship Id="rId4" Type="http://schemas.openxmlformats.org/officeDocument/2006/relationships/hyperlink" Target="#Demande!B106"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9525</xdr:rowOff>
    </xdr:from>
    <xdr:to>
      <xdr:col>10</xdr:col>
      <xdr:colOff>0</xdr:colOff>
      <xdr:row>1</xdr:row>
      <xdr:rowOff>0</xdr:rowOff>
    </xdr:to>
    <xdr:sp>
      <xdr:nvSpPr>
        <xdr:cNvPr id="1" name="ZoneTexte 1"/>
        <xdr:cNvSpPr txBox="1">
          <a:spLocks noChangeArrowheads="1"/>
        </xdr:cNvSpPr>
      </xdr:nvSpPr>
      <xdr:spPr>
        <a:xfrm>
          <a:off x="1724025" y="9525"/>
          <a:ext cx="528637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3</xdr:col>
      <xdr:colOff>57150</xdr:colOff>
      <xdr:row>1</xdr:row>
      <xdr:rowOff>142875</xdr:rowOff>
    </xdr:to>
    <xdr:pic>
      <xdr:nvPicPr>
        <xdr:cNvPr id="2" name="Image 3"/>
        <xdr:cNvPicPr preferRelativeResize="1">
          <a:picLocks noChangeAspect="1"/>
        </xdr:cNvPicPr>
      </xdr:nvPicPr>
      <xdr:blipFill>
        <a:blip r:embed="rId1"/>
        <a:stretch>
          <a:fillRect/>
        </a:stretch>
      </xdr:blipFill>
      <xdr:spPr>
        <a:xfrm>
          <a:off x="0" y="0"/>
          <a:ext cx="1733550" cy="904875"/>
        </a:xfrm>
        <a:prstGeom prst="rect">
          <a:avLst/>
        </a:prstGeom>
        <a:noFill/>
        <a:ln w="9525" cmpd="sng">
          <a:noFill/>
        </a:ln>
      </xdr:spPr>
    </xdr:pic>
    <xdr:clientData/>
  </xdr:twoCellAnchor>
  <xdr:twoCellAnchor>
    <xdr:from>
      <xdr:col>7</xdr:col>
      <xdr:colOff>219075</xdr:colOff>
      <xdr:row>43</xdr:row>
      <xdr:rowOff>38100</xdr:rowOff>
    </xdr:from>
    <xdr:to>
      <xdr:col>10</xdr:col>
      <xdr:colOff>19050</xdr:colOff>
      <xdr:row>44</xdr:row>
      <xdr:rowOff>304800</xdr:rowOff>
    </xdr:to>
    <xdr:grpSp>
      <xdr:nvGrpSpPr>
        <xdr:cNvPr id="3" name="Groupe 25">
          <a:hlinkClick r:id="rId2"/>
        </xdr:cNvPr>
        <xdr:cNvGrpSpPr>
          <a:grpSpLocks/>
        </xdr:cNvGrpSpPr>
      </xdr:nvGrpSpPr>
      <xdr:grpSpPr>
        <a:xfrm>
          <a:off x="4943475" y="13477875"/>
          <a:ext cx="2085975" cy="457200"/>
          <a:chOff x="4943474" y="9061507"/>
          <a:chExt cx="2086571" cy="454138"/>
        </a:xfrm>
        <a:solidFill>
          <a:srgbClr val="FFFFFF"/>
        </a:solidFill>
      </xdr:grpSpPr>
      <xdr:sp>
        <xdr:nvSpPr>
          <xdr:cNvPr id="4" name="ZoneTexte 11"/>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twoCellAnchor editAs="oneCell">
    <xdr:from>
      <xdr:col>1</xdr:col>
      <xdr:colOff>47625</xdr:colOff>
      <xdr:row>8</xdr:row>
      <xdr:rowOff>0</xdr:rowOff>
    </xdr:from>
    <xdr:to>
      <xdr:col>8</xdr:col>
      <xdr:colOff>428625</xdr:colOff>
      <xdr:row>9</xdr:row>
      <xdr:rowOff>0</xdr:rowOff>
    </xdr:to>
    <xdr:pic>
      <xdr:nvPicPr>
        <xdr:cNvPr id="6" name="Image 7"/>
        <xdr:cNvPicPr preferRelativeResize="1">
          <a:picLocks noChangeAspect="1"/>
        </xdr:cNvPicPr>
      </xdr:nvPicPr>
      <xdr:blipFill>
        <a:blip r:embed="rId4"/>
        <a:srcRect l="1762" t="22152" r="3590" b="29385"/>
        <a:stretch>
          <a:fillRect/>
        </a:stretch>
      </xdr:blipFill>
      <xdr:spPr>
        <a:xfrm>
          <a:off x="200025" y="2124075"/>
          <a:ext cx="5715000" cy="200025"/>
        </a:xfrm>
        <a:prstGeom prst="rect">
          <a:avLst/>
        </a:prstGeom>
        <a:noFill/>
        <a:ln w="9525" cmpd="sng">
          <a:noFill/>
        </a:ln>
      </xdr:spPr>
    </xdr:pic>
    <xdr:clientData/>
  </xdr:twoCellAnchor>
  <xdr:twoCellAnchor editAs="oneCell">
    <xdr:from>
      <xdr:col>1</xdr:col>
      <xdr:colOff>133350</xdr:colOff>
      <xdr:row>12</xdr:row>
      <xdr:rowOff>0</xdr:rowOff>
    </xdr:from>
    <xdr:to>
      <xdr:col>4</xdr:col>
      <xdr:colOff>428625</xdr:colOff>
      <xdr:row>12</xdr:row>
      <xdr:rowOff>2790825</xdr:rowOff>
    </xdr:to>
    <xdr:pic>
      <xdr:nvPicPr>
        <xdr:cNvPr id="7" name="Image 3"/>
        <xdr:cNvPicPr preferRelativeResize="1">
          <a:picLocks noChangeAspect="1"/>
        </xdr:cNvPicPr>
      </xdr:nvPicPr>
      <xdr:blipFill>
        <a:blip r:embed="rId5"/>
        <a:stretch>
          <a:fillRect/>
        </a:stretch>
      </xdr:blipFill>
      <xdr:spPr>
        <a:xfrm>
          <a:off x="285750" y="2800350"/>
          <a:ext cx="2581275" cy="2790825"/>
        </a:xfrm>
        <a:prstGeom prst="rect">
          <a:avLst/>
        </a:prstGeom>
        <a:noFill/>
        <a:ln w="9525" cmpd="sng">
          <a:noFill/>
        </a:ln>
      </xdr:spPr>
    </xdr:pic>
    <xdr:clientData/>
  </xdr:twoCellAnchor>
  <xdr:oneCellAnchor>
    <xdr:from>
      <xdr:col>1</xdr:col>
      <xdr:colOff>114300</xdr:colOff>
      <xdr:row>20</xdr:row>
      <xdr:rowOff>9525</xdr:rowOff>
    </xdr:from>
    <xdr:ext cx="6734175" cy="1752600"/>
    <xdr:grpSp>
      <xdr:nvGrpSpPr>
        <xdr:cNvPr id="8" name="Groupe 23"/>
        <xdr:cNvGrpSpPr>
          <a:grpSpLocks/>
        </xdr:cNvGrpSpPr>
      </xdr:nvGrpSpPr>
      <xdr:grpSpPr>
        <a:xfrm>
          <a:off x="266700" y="7210425"/>
          <a:ext cx="6734175" cy="1752600"/>
          <a:chOff x="-6874494" y="5706812"/>
          <a:chExt cx="5797285" cy="1518047"/>
        </a:xfrm>
        <a:solidFill>
          <a:srgbClr val="FFFFFF"/>
        </a:solidFill>
      </xdr:grpSpPr>
      <xdr:pic>
        <xdr:nvPicPr>
          <xdr:cNvPr id="9" name="Image 19"/>
          <xdr:cNvPicPr preferRelativeResize="1">
            <a:picLocks noChangeAspect="1"/>
          </xdr:cNvPicPr>
        </xdr:nvPicPr>
        <xdr:blipFill>
          <a:blip r:embed="rId6"/>
          <a:stretch>
            <a:fillRect/>
          </a:stretch>
        </xdr:blipFill>
        <xdr:spPr>
          <a:xfrm>
            <a:off x="-6874494" y="5623320"/>
            <a:ext cx="5898737" cy="1601919"/>
          </a:xfrm>
          <a:prstGeom prst="rect">
            <a:avLst/>
          </a:prstGeom>
          <a:noFill/>
          <a:ln w="9525" cmpd="sng">
            <a:noFill/>
          </a:ln>
        </xdr:spPr>
      </xdr:pic>
      <xdr:sp>
        <xdr:nvSpPr>
          <xdr:cNvPr id="10" name="Connecteur droit 20"/>
          <xdr:cNvSpPr>
            <a:spLocks/>
          </xdr:cNvSpPr>
        </xdr:nvSpPr>
        <xdr:spPr>
          <a:xfrm>
            <a:off x="-5973016" y="6125413"/>
            <a:ext cx="926116"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oneCellAnchor>
  <xdr:twoCellAnchor editAs="oneCell">
    <xdr:from>
      <xdr:col>1</xdr:col>
      <xdr:colOff>66675</xdr:colOff>
      <xdr:row>24</xdr:row>
      <xdr:rowOff>0</xdr:rowOff>
    </xdr:from>
    <xdr:to>
      <xdr:col>7</xdr:col>
      <xdr:colOff>409575</xdr:colOff>
      <xdr:row>25</xdr:row>
      <xdr:rowOff>0</xdr:rowOff>
    </xdr:to>
    <xdr:pic>
      <xdr:nvPicPr>
        <xdr:cNvPr id="11" name="Image 7"/>
        <xdr:cNvPicPr preferRelativeResize="1">
          <a:picLocks noChangeAspect="1"/>
        </xdr:cNvPicPr>
      </xdr:nvPicPr>
      <xdr:blipFill>
        <a:blip r:embed="rId7"/>
        <a:stretch>
          <a:fillRect/>
        </a:stretch>
      </xdr:blipFill>
      <xdr:spPr>
        <a:xfrm>
          <a:off x="219075" y="9429750"/>
          <a:ext cx="4914900" cy="323850"/>
        </a:xfrm>
        <a:prstGeom prst="rect">
          <a:avLst/>
        </a:prstGeom>
        <a:noFill/>
        <a:ln w="9525" cmpd="sng">
          <a:noFill/>
        </a:ln>
      </xdr:spPr>
    </xdr:pic>
    <xdr:clientData/>
  </xdr:twoCellAnchor>
  <xdr:oneCellAnchor>
    <xdr:from>
      <xdr:col>1</xdr:col>
      <xdr:colOff>114300</xdr:colOff>
      <xdr:row>32</xdr:row>
      <xdr:rowOff>0</xdr:rowOff>
    </xdr:from>
    <xdr:ext cx="3762375" cy="1419225"/>
    <xdr:grpSp>
      <xdr:nvGrpSpPr>
        <xdr:cNvPr id="12" name="Groupe 28"/>
        <xdr:cNvGrpSpPr>
          <a:grpSpLocks/>
        </xdr:cNvGrpSpPr>
      </xdr:nvGrpSpPr>
      <xdr:grpSpPr>
        <a:xfrm>
          <a:off x="266700" y="11344275"/>
          <a:ext cx="3762375" cy="1419225"/>
          <a:chOff x="144779" y="7078379"/>
          <a:chExt cx="3634306" cy="1564051"/>
        </a:xfrm>
        <a:solidFill>
          <a:srgbClr val="FFFFFF"/>
        </a:solidFill>
      </xdr:grpSpPr>
      <xdr:pic>
        <xdr:nvPicPr>
          <xdr:cNvPr id="13" name="Image 23"/>
          <xdr:cNvPicPr preferRelativeResize="1">
            <a:picLocks noChangeAspect="1"/>
          </xdr:cNvPicPr>
        </xdr:nvPicPr>
        <xdr:blipFill>
          <a:blip r:embed="rId8"/>
          <a:stretch>
            <a:fillRect/>
          </a:stretch>
        </xdr:blipFill>
        <xdr:spPr>
          <a:xfrm>
            <a:off x="144779" y="6975153"/>
            <a:ext cx="3746969" cy="1667669"/>
          </a:xfrm>
          <a:prstGeom prst="rect">
            <a:avLst/>
          </a:prstGeom>
          <a:noFill/>
          <a:ln w="9525" cmpd="sng">
            <a:noFill/>
          </a:ln>
        </xdr:spPr>
      </xdr:pic>
      <xdr:sp>
        <xdr:nvSpPr>
          <xdr:cNvPr id="14" name="Rectangle 24"/>
          <xdr:cNvSpPr>
            <a:spLocks/>
          </xdr:cNvSpPr>
        </xdr:nvSpPr>
        <xdr:spPr>
          <a:xfrm>
            <a:off x="732628" y="7894032"/>
            <a:ext cx="303465" cy="3241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58</xdr:row>
      <xdr:rowOff>0</xdr:rowOff>
    </xdr:from>
    <xdr:to>
      <xdr:col>1</xdr:col>
      <xdr:colOff>381000</xdr:colOff>
      <xdr:row>58</xdr:row>
      <xdr:rowOff>0</xdr:rowOff>
    </xdr:to>
    <xdr:pic>
      <xdr:nvPicPr>
        <xdr:cNvPr id="1" name="CheckBox1"/>
        <xdr:cNvPicPr preferRelativeResize="1">
          <a:picLocks noChangeAspect="0"/>
        </xdr:cNvPicPr>
      </xdr:nvPicPr>
      <xdr:blipFill>
        <a:blip r:embed="rId1"/>
        <a:stretch>
          <a:fillRect/>
        </a:stretch>
      </xdr:blipFill>
      <xdr:spPr>
        <a:xfrm>
          <a:off x="190500" y="12134850"/>
          <a:ext cx="342900" cy="0"/>
        </a:xfrm>
        <a:prstGeom prst="rect">
          <a:avLst/>
        </a:prstGeom>
        <a:noFill/>
        <a:ln w="9525" cmpd="sng">
          <a:noFill/>
        </a:ln>
      </xdr:spPr>
    </xdr:pic>
    <xdr:clientData/>
  </xdr:twoCellAnchor>
  <xdr:twoCellAnchor>
    <xdr:from>
      <xdr:col>3</xdr:col>
      <xdr:colOff>114300</xdr:colOff>
      <xdr:row>58</xdr:row>
      <xdr:rowOff>0</xdr:rowOff>
    </xdr:from>
    <xdr:to>
      <xdr:col>10</xdr:col>
      <xdr:colOff>381000</xdr:colOff>
      <xdr:row>58</xdr:row>
      <xdr:rowOff>0</xdr:rowOff>
    </xdr:to>
    <xdr:pic>
      <xdr:nvPicPr>
        <xdr:cNvPr id="2" name="CheckBox2"/>
        <xdr:cNvPicPr preferRelativeResize="1">
          <a:picLocks noChangeAspect="0"/>
        </xdr:cNvPicPr>
      </xdr:nvPicPr>
      <xdr:blipFill>
        <a:blip r:embed="rId2"/>
        <a:stretch>
          <a:fillRect/>
        </a:stretch>
      </xdr:blipFill>
      <xdr:spPr>
        <a:xfrm>
          <a:off x="1028700" y="12134850"/>
          <a:ext cx="3057525" cy="0"/>
        </a:xfrm>
        <a:prstGeom prst="rect">
          <a:avLst/>
        </a:prstGeom>
        <a:noFill/>
        <a:ln w="9525" cmpd="sng">
          <a:noFill/>
        </a:ln>
      </xdr:spPr>
    </xdr:pic>
    <xdr:clientData/>
  </xdr:twoCellAnchor>
  <xdr:twoCellAnchor editAs="oneCell">
    <xdr:from>
      <xdr:col>1</xdr:col>
      <xdr:colOff>19050</xdr:colOff>
      <xdr:row>106</xdr:row>
      <xdr:rowOff>19050</xdr:rowOff>
    </xdr:from>
    <xdr:to>
      <xdr:col>1</xdr:col>
      <xdr:colOff>180975</xdr:colOff>
      <xdr:row>106</xdr:row>
      <xdr:rowOff>200025</xdr:rowOff>
    </xdr:to>
    <xdr:pic>
      <xdr:nvPicPr>
        <xdr:cNvPr id="3" name="CheckBox8"/>
        <xdr:cNvPicPr preferRelativeResize="1">
          <a:picLocks noChangeAspect="0"/>
        </xdr:cNvPicPr>
      </xdr:nvPicPr>
      <xdr:blipFill>
        <a:blip r:embed="rId3"/>
        <a:stretch>
          <a:fillRect/>
        </a:stretch>
      </xdr:blipFill>
      <xdr:spPr>
        <a:xfrm>
          <a:off x="171450" y="21802725"/>
          <a:ext cx="161925" cy="180975"/>
        </a:xfrm>
        <a:prstGeom prst="rect">
          <a:avLst/>
        </a:prstGeom>
        <a:solidFill>
          <a:srgbClr val="FFFFFF"/>
        </a:solidFill>
        <a:ln w="1" cmpd="sng">
          <a:noFill/>
        </a:ln>
      </xdr:spPr>
    </xdr:pic>
    <xdr:clientData/>
  </xdr:twoCellAnchor>
  <xdr:twoCellAnchor>
    <xdr:from>
      <xdr:col>1</xdr:col>
      <xdr:colOff>9525</xdr:colOff>
      <xdr:row>107</xdr:row>
      <xdr:rowOff>9525</xdr:rowOff>
    </xdr:from>
    <xdr:to>
      <xdr:col>1</xdr:col>
      <xdr:colOff>171450</xdr:colOff>
      <xdr:row>107</xdr:row>
      <xdr:rowOff>190500</xdr:rowOff>
    </xdr:to>
    <xdr:pic>
      <xdr:nvPicPr>
        <xdr:cNvPr id="4" name="CheckBox9"/>
        <xdr:cNvPicPr preferRelativeResize="1">
          <a:picLocks noChangeAspect="0"/>
        </xdr:cNvPicPr>
      </xdr:nvPicPr>
      <xdr:blipFill>
        <a:blip r:embed="rId3"/>
        <a:stretch>
          <a:fillRect/>
        </a:stretch>
      </xdr:blipFill>
      <xdr:spPr>
        <a:xfrm>
          <a:off x="161925" y="22517100"/>
          <a:ext cx="161925" cy="171450"/>
        </a:xfrm>
        <a:prstGeom prst="rect">
          <a:avLst/>
        </a:prstGeom>
        <a:solidFill>
          <a:srgbClr val="FFFFFF"/>
        </a:solidFill>
        <a:ln w="1" cmpd="sng">
          <a:noFill/>
        </a:ln>
      </xdr:spPr>
    </xdr:pic>
    <xdr:clientData/>
  </xdr:twoCellAnchor>
  <xdr:twoCellAnchor>
    <xdr:from>
      <xdr:col>1</xdr:col>
      <xdr:colOff>19050</xdr:colOff>
      <xdr:row>108</xdr:row>
      <xdr:rowOff>0</xdr:rowOff>
    </xdr:from>
    <xdr:to>
      <xdr:col>1</xdr:col>
      <xdr:colOff>180975</xdr:colOff>
      <xdr:row>108</xdr:row>
      <xdr:rowOff>180975</xdr:rowOff>
    </xdr:to>
    <xdr:pic>
      <xdr:nvPicPr>
        <xdr:cNvPr id="5" name="CheckBox10"/>
        <xdr:cNvPicPr preferRelativeResize="1">
          <a:picLocks noChangeAspect="0"/>
        </xdr:cNvPicPr>
      </xdr:nvPicPr>
      <xdr:blipFill>
        <a:blip r:embed="rId3"/>
        <a:stretch>
          <a:fillRect/>
        </a:stretch>
      </xdr:blipFill>
      <xdr:spPr>
        <a:xfrm>
          <a:off x="171450" y="22755225"/>
          <a:ext cx="161925" cy="180975"/>
        </a:xfrm>
        <a:prstGeom prst="rect">
          <a:avLst/>
        </a:prstGeom>
        <a:solidFill>
          <a:srgbClr val="FFFFFF"/>
        </a:solidFill>
        <a:ln w="1" cmpd="sng">
          <a:noFill/>
        </a:ln>
      </xdr:spPr>
    </xdr:pic>
    <xdr:clientData/>
  </xdr:twoCellAnchor>
  <xdr:twoCellAnchor>
    <xdr:from>
      <xdr:col>5</xdr:col>
      <xdr:colOff>161925</xdr:colOff>
      <xdr:row>0</xdr:row>
      <xdr:rowOff>9525</xdr:rowOff>
    </xdr:from>
    <xdr:to>
      <xdr:col>19</xdr:col>
      <xdr:colOff>9525</xdr:colOff>
      <xdr:row>1</xdr:row>
      <xdr:rowOff>0</xdr:rowOff>
    </xdr:to>
    <xdr:sp>
      <xdr:nvSpPr>
        <xdr:cNvPr id="6" name="ZoneTexte 1"/>
        <xdr:cNvSpPr txBox="1">
          <a:spLocks noChangeArrowheads="1"/>
        </xdr:cNvSpPr>
      </xdr:nvSpPr>
      <xdr:spPr>
        <a:xfrm>
          <a:off x="1838325" y="9525"/>
          <a:ext cx="530542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5</xdr:col>
      <xdr:colOff>66675</xdr:colOff>
      <xdr:row>1</xdr:row>
      <xdr:rowOff>142875</xdr:rowOff>
    </xdr:to>
    <xdr:pic>
      <xdr:nvPicPr>
        <xdr:cNvPr id="7" name="Image 3"/>
        <xdr:cNvPicPr preferRelativeResize="1">
          <a:picLocks noChangeAspect="1"/>
        </xdr:cNvPicPr>
      </xdr:nvPicPr>
      <xdr:blipFill>
        <a:blip r:embed="rId4"/>
        <a:stretch>
          <a:fillRect/>
        </a:stretch>
      </xdr:blipFill>
      <xdr:spPr>
        <a:xfrm>
          <a:off x="0" y="0"/>
          <a:ext cx="1743075" cy="904875"/>
        </a:xfrm>
        <a:prstGeom prst="rect">
          <a:avLst/>
        </a:prstGeom>
        <a:noFill/>
        <a:ln w="9525" cmpd="sng">
          <a:noFill/>
        </a:ln>
      </xdr:spPr>
    </xdr:pic>
    <xdr:clientData/>
  </xdr:twoCellAnchor>
  <xdr:oneCellAnchor>
    <xdr:from>
      <xdr:col>5</xdr:col>
      <xdr:colOff>371475</xdr:colOff>
      <xdr:row>2</xdr:row>
      <xdr:rowOff>0</xdr:rowOff>
    </xdr:from>
    <xdr:ext cx="752475" cy="161925"/>
    <xdr:sp>
      <xdr:nvSpPr>
        <xdr:cNvPr id="8" name="Rectangle 3">
          <a:hlinkClick r:id="rId5"/>
        </xdr:cNvPr>
        <xdr:cNvSpPr>
          <a:spLocks/>
        </xdr:cNvSpPr>
      </xdr:nvSpPr>
      <xdr:spPr>
        <a:xfrm>
          <a:off x="2047875" y="990600"/>
          <a:ext cx="752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28575</xdr:colOff>
      <xdr:row>2</xdr:row>
      <xdr:rowOff>19050</xdr:rowOff>
    </xdr:from>
    <xdr:ext cx="1133475" cy="161925"/>
    <xdr:sp>
      <xdr:nvSpPr>
        <xdr:cNvPr id="9" name="Rectangle 4">
          <a:hlinkClick r:id="rId6"/>
        </xdr:cNvPr>
        <xdr:cNvSpPr>
          <a:spLocks/>
        </xdr:cNvSpPr>
      </xdr:nvSpPr>
      <xdr:spPr>
        <a:xfrm>
          <a:off x="3352800" y="1009650"/>
          <a:ext cx="1133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285750</xdr:colOff>
      <xdr:row>86</xdr:row>
      <xdr:rowOff>142875</xdr:rowOff>
    </xdr:from>
    <xdr:to>
      <xdr:col>10</xdr:col>
      <xdr:colOff>209550</xdr:colOff>
      <xdr:row>88</xdr:row>
      <xdr:rowOff>38100</xdr:rowOff>
    </xdr:to>
    <xdr:pic>
      <xdr:nvPicPr>
        <xdr:cNvPr id="10" name="Graphique 23" descr="Flèche : courbe légère avec un remplissage uni"/>
        <xdr:cNvPicPr preferRelativeResize="1">
          <a:picLocks noChangeAspect="1"/>
        </xdr:cNvPicPr>
      </xdr:nvPicPr>
      <xdr:blipFill>
        <a:blip r:embed="rId7"/>
        <a:stretch>
          <a:fillRect/>
        </a:stretch>
      </xdr:blipFill>
      <xdr:spPr>
        <a:xfrm>
          <a:off x="3609975" y="17868900"/>
          <a:ext cx="3048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1590675</xdr:colOff>
      <xdr:row>0</xdr:row>
      <xdr:rowOff>9525</xdr:rowOff>
    </xdr:from>
    <xdr:to>
      <xdr:col>13</xdr:col>
      <xdr:colOff>2724150</xdr:colOff>
      <xdr:row>1</xdr:row>
      <xdr:rowOff>9525</xdr:rowOff>
    </xdr:to>
    <xdr:sp>
      <xdr:nvSpPr>
        <xdr:cNvPr id="1" name="ZoneTexte 1"/>
        <xdr:cNvSpPr txBox="1">
          <a:spLocks noChangeArrowheads="1"/>
        </xdr:cNvSpPr>
      </xdr:nvSpPr>
      <xdr:spPr>
        <a:xfrm>
          <a:off x="1743075" y="9525"/>
          <a:ext cx="15411450" cy="762000"/>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absolute">
    <xdr:from>
      <xdr:col>0</xdr:col>
      <xdr:colOff>9525</xdr:colOff>
      <xdr:row>0</xdr:row>
      <xdr:rowOff>0</xdr:rowOff>
    </xdr:from>
    <xdr:to>
      <xdr:col>1</xdr:col>
      <xdr:colOff>1609725</xdr:colOff>
      <xdr:row>1</xdr:row>
      <xdr:rowOff>142875</xdr:rowOff>
    </xdr:to>
    <xdr:pic>
      <xdr:nvPicPr>
        <xdr:cNvPr id="2" name="Image 3"/>
        <xdr:cNvPicPr preferRelativeResize="1">
          <a:picLocks noChangeAspect="1"/>
        </xdr:cNvPicPr>
      </xdr:nvPicPr>
      <xdr:blipFill>
        <a:blip r:embed="rId1"/>
        <a:stretch>
          <a:fillRect/>
        </a:stretch>
      </xdr:blipFill>
      <xdr:spPr>
        <a:xfrm>
          <a:off x="9525" y="0"/>
          <a:ext cx="1752600" cy="904875"/>
        </a:xfrm>
        <a:prstGeom prst="rect">
          <a:avLst/>
        </a:prstGeom>
        <a:noFill/>
        <a:ln w="9525" cmpd="sng">
          <a:noFill/>
        </a:ln>
      </xdr:spPr>
    </xdr:pic>
    <xdr:clientData/>
  </xdr:twoCellAnchor>
  <xdr:twoCellAnchor>
    <xdr:from>
      <xdr:col>13</xdr:col>
      <xdr:colOff>590550</xdr:colOff>
      <xdr:row>1</xdr:row>
      <xdr:rowOff>133350</xdr:rowOff>
    </xdr:from>
    <xdr:to>
      <xdr:col>14</xdr:col>
      <xdr:colOff>28575</xdr:colOff>
      <xdr:row>3</xdr:row>
      <xdr:rowOff>114300</xdr:rowOff>
    </xdr:to>
    <xdr:grpSp>
      <xdr:nvGrpSpPr>
        <xdr:cNvPr id="3" name="Groupe 25">
          <a:hlinkClick r:id="rId2"/>
        </xdr:cNvPr>
        <xdr:cNvGrpSpPr>
          <a:grpSpLocks/>
        </xdr:cNvGrpSpPr>
      </xdr:nvGrpSpPr>
      <xdr:grpSpPr>
        <a:xfrm>
          <a:off x="15020925" y="895350"/>
          <a:ext cx="2266950" cy="457200"/>
          <a:chOff x="4761113" y="9061507"/>
          <a:chExt cx="2268932" cy="454138"/>
        </a:xfrm>
        <a:solidFill>
          <a:srgbClr val="FFFFFF"/>
        </a:solidFill>
      </xdr:grpSpPr>
      <xdr:sp>
        <xdr:nvSpPr>
          <xdr:cNvPr id="4" name="ZoneTexte 4"/>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twoCellAnchor>
    <xdr:from>
      <xdr:col>13</xdr:col>
      <xdr:colOff>590550</xdr:colOff>
      <xdr:row>48</xdr:row>
      <xdr:rowOff>133350</xdr:rowOff>
    </xdr:from>
    <xdr:to>
      <xdr:col>14</xdr:col>
      <xdr:colOff>28575</xdr:colOff>
      <xdr:row>50</xdr:row>
      <xdr:rowOff>190500</xdr:rowOff>
    </xdr:to>
    <xdr:grpSp>
      <xdr:nvGrpSpPr>
        <xdr:cNvPr id="6" name="Groupe 25">
          <a:hlinkClick r:id="rId4"/>
        </xdr:cNvPr>
        <xdr:cNvGrpSpPr>
          <a:grpSpLocks/>
        </xdr:cNvGrpSpPr>
      </xdr:nvGrpSpPr>
      <xdr:grpSpPr>
        <a:xfrm>
          <a:off x="15020925" y="10696575"/>
          <a:ext cx="2266950" cy="457200"/>
          <a:chOff x="4761113" y="9061507"/>
          <a:chExt cx="2268932" cy="454138"/>
        </a:xfrm>
        <a:solidFill>
          <a:srgbClr val="FFFFFF"/>
        </a:solidFill>
      </xdr:grpSpPr>
      <xdr:sp>
        <xdr:nvSpPr>
          <xdr:cNvPr id="7" name="ZoneTexte 7"/>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8"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8</xdr:col>
      <xdr:colOff>95250</xdr:colOff>
      <xdr:row>3</xdr:row>
      <xdr:rowOff>9525</xdr:rowOff>
    </xdr:to>
    <xdr:pic>
      <xdr:nvPicPr>
        <xdr:cNvPr id="1" name="Image 10" descr="MERNim"/>
        <xdr:cNvPicPr preferRelativeResize="1">
          <a:picLocks noChangeAspect="0"/>
        </xdr:cNvPicPr>
      </xdr:nvPicPr>
      <xdr:blipFill>
        <a:blip r:embed="rId1"/>
        <a:srcRect t="30381"/>
        <a:stretch>
          <a:fillRect/>
        </a:stretch>
      </xdr:blipFill>
      <xdr:spPr>
        <a:xfrm>
          <a:off x="161925" y="133350"/>
          <a:ext cx="1504950" cy="447675"/>
        </a:xfrm>
        <a:prstGeom prst="rect">
          <a:avLst/>
        </a:prstGeom>
        <a:noFill/>
        <a:ln w="9525" cmpd="sng">
          <a:noFill/>
        </a:ln>
      </xdr:spPr>
    </xdr:pic>
    <xdr:clientData/>
  </xdr:twoCellAnchor>
  <xdr:twoCellAnchor>
    <xdr:from>
      <xdr:col>3</xdr:col>
      <xdr:colOff>0</xdr:colOff>
      <xdr:row>13</xdr:row>
      <xdr:rowOff>180975</xdr:rowOff>
    </xdr:from>
    <xdr:to>
      <xdr:col>42</xdr:col>
      <xdr:colOff>0</xdr:colOff>
      <xdr:row>15</xdr:row>
      <xdr:rowOff>0</xdr:rowOff>
    </xdr:to>
    <xdr:sp fLocksText="0" textlink="Demande!B13">
      <xdr:nvSpPr>
        <xdr:cNvPr id="2" name="Descriptif_Organisme"/>
        <xdr:cNvSpPr txBox="1">
          <a:spLocks noChangeArrowheads="1"/>
        </xdr:cNvSpPr>
      </xdr:nvSpPr>
      <xdr:spPr>
        <a:xfrm>
          <a:off x="428625" y="1590675"/>
          <a:ext cx="8734425" cy="990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ac91d995-6ad8-4a57-989c-65bebd889c30}" type="TxLink">
            <a:rPr lang="en-US" cap="none" sz="1000" b="0" i="0" u="none" baseline="0">
              <a:solidFill>
                <a:srgbClr val="000000"/>
              </a:solidFill>
            </a:rPr>
            <a:t> </a:t>
          </a:fld>
        </a:p>
      </xdr:txBody>
    </xdr:sp>
    <xdr:clientData fLocksWithSheet="0"/>
  </xdr:twoCellAnchor>
  <xdr:twoCellAnchor>
    <xdr:from>
      <xdr:col>3</xdr:col>
      <xdr:colOff>0</xdr:colOff>
      <xdr:row>69</xdr:row>
      <xdr:rowOff>0</xdr:rowOff>
    </xdr:from>
    <xdr:to>
      <xdr:col>42</xdr:col>
      <xdr:colOff>0</xdr:colOff>
      <xdr:row>70</xdr:row>
      <xdr:rowOff>9525</xdr:rowOff>
    </xdr:to>
    <xdr:sp fLocksText="0" textlink="Demande!B54">
      <xdr:nvSpPr>
        <xdr:cNvPr id="3" name="Descriptif_Site"/>
        <xdr:cNvSpPr txBox="1">
          <a:spLocks noChangeArrowheads="1"/>
        </xdr:cNvSpPr>
      </xdr:nvSpPr>
      <xdr:spPr>
        <a:xfrm>
          <a:off x="428625" y="8439150"/>
          <a:ext cx="8734425" cy="657225"/>
        </a:xfrm>
        <a:prstGeom prst="rect">
          <a:avLst/>
        </a:prstGeom>
        <a:solidFill>
          <a:srgbClr val="FFFFCC"/>
        </a:solidFill>
        <a:ln w="9525" cmpd="sng">
          <a:solidFill>
            <a:srgbClr val="000000"/>
          </a:solidFill>
          <a:headEnd type="none"/>
          <a:tailEnd type="none"/>
        </a:ln>
      </xdr:spPr>
      <xdr:txBody>
        <a:bodyPr vertOverflow="clip" wrap="square"/>
        <a:p>
          <a:pPr algn="l">
            <a:defRPr/>
          </a:pPr>
          <a:fld id="{ee0e5286-c115-4ce7-81cd-3c57ba860223}" type="TxLink">
            <a:rPr lang="en-US" cap="none" sz="1000" b="0" i="0" u="none" baseline="0">
              <a:solidFill>
                <a:srgbClr val="000000"/>
              </a:solidFill>
            </a:rPr>
            <a:t> </a:t>
          </a:fld>
        </a:p>
      </xdr:txBody>
    </xdr:sp>
    <xdr:clientData fLocksWithSheet="0"/>
  </xdr:twoCellAnchor>
  <xdr:twoCellAnchor>
    <xdr:from>
      <xdr:col>2</xdr:col>
      <xdr:colOff>38100</xdr:colOff>
      <xdr:row>102</xdr:row>
      <xdr:rowOff>0</xdr:rowOff>
    </xdr:from>
    <xdr:to>
      <xdr:col>42</xdr:col>
      <xdr:colOff>38100</xdr:colOff>
      <xdr:row>105</xdr:row>
      <xdr:rowOff>0</xdr:rowOff>
    </xdr:to>
    <xdr:sp fLocksText="0" textlink="Demande!B85">
      <xdr:nvSpPr>
        <xdr:cNvPr id="4" name="Descriptif_Projet"/>
        <xdr:cNvSpPr txBox="1">
          <a:spLocks noChangeArrowheads="1"/>
        </xdr:cNvSpPr>
      </xdr:nvSpPr>
      <xdr:spPr>
        <a:xfrm>
          <a:off x="428625" y="12753975"/>
          <a:ext cx="8772525" cy="571500"/>
        </a:xfrm>
        <a:prstGeom prst="rect">
          <a:avLst/>
        </a:prstGeom>
        <a:solidFill>
          <a:srgbClr val="FFFFCC"/>
        </a:solidFill>
        <a:ln w="9525" cmpd="sng">
          <a:solidFill>
            <a:srgbClr val="000000"/>
          </a:solidFill>
          <a:headEnd type="none"/>
          <a:tailEnd type="none"/>
        </a:ln>
      </xdr:spPr>
      <xdr:txBody>
        <a:bodyPr vertOverflow="clip" wrap="square"/>
        <a:p>
          <a:pPr algn="l">
            <a:defRPr/>
          </a:pPr>
          <a:fld id="{e8d73632-cf93-4762-a3a7-35a5e146357d}" type="TxLink">
            <a:rPr lang="en-US" cap="none" sz="1000" b="0" i="0" u="none" baseline="0">
              <a:solidFill>
                <a:srgbClr val="000000"/>
              </a:solidFill>
            </a:rPr>
            <a:t> </a:t>
          </a:fld>
        </a:p>
      </xdr:txBody>
    </xdr:sp>
    <xdr:clientData fLocksWithSheet="0"/>
  </xdr:twoCellAnchor>
  <xdr:twoCellAnchor>
    <xdr:from>
      <xdr:col>21</xdr:col>
      <xdr:colOff>0</xdr:colOff>
      <xdr:row>92</xdr:row>
      <xdr:rowOff>9525</xdr:rowOff>
    </xdr:from>
    <xdr:to>
      <xdr:col>30</xdr:col>
      <xdr:colOff>0</xdr:colOff>
      <xdr:row>93</xdr:row>
      <xdr:rowOff>0</xdr:rowOff>
    </xdr:to>
    <xdr:sp fLocksText="0">
      <xdr:nvSpPr>
        <xdr:cNvPr id="5" name="ZoneTexte 589" hidden="1"/>
        <xdr:cNvSpPr txBox="1">
          <a:spLocks noChangeArrowheads="1"/>
        </xdr:cNvSpPr>
      </xdr:nvSpPr>
      <xdr:spPr>
        <a:xfrm>
          <a:off x="4543425" y="11468100"/>
          <a:ext cx="2028825" cy="180975"/>
        </a:xfrm>
        <a:prstGeom prst="rect">
          <a:avLst/>
        </a:prstGeom>
        <a:solidFill>
          <a:srgbClr val="BFBFBF"/>
        </a:solidFill>
        <a:ln w="9525" cmpd="sng">
          <a:solidFill>
            <a:srgbClr val="000000"/>
          </a:solidFill>
          <a:headEnd type="none"/>
          <a:tailEnd type="none"/>
        </a:ln>
      </xdr:spPr>
      <xdr:txBody>
        <a:bodyPr vertOverflow="clip" wrap="square" lIns="91440" tIns="36000" rIns="91440" bIns="0"/>
        <a:p>
          <a:pPr algn="ctr">
            <a:defRPr/>
          </a:pPr>
          <a:r>
            <a:rPr lang="en-US" cap="none" sz="800" b="0" i="0" u="none" baseline="0">
              <a:solidFill>
                <a:srgbClr val="000000"/>
              </a:solidFill>
            </a:rPr>
            <a:t>68 094,87 $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1457325</xdr:colOff>
      <xdr:row>3</xdr:row>
      <xdr:rowOff>47625</xdr:rowOff>
    </xdr:to>
    <xdr:pic>
      <xdr:nvPicPr>
        <xdr:cNvPr id="1" name="Image 2"/>
        <xdr:cNvPicPr preferRelativeResize="1">
          <a:picLocks noChangeAspect="1"/>
        </xdr:cNvPicPr>
      </xdr:nvPicPr>
      <xdr:blipFill>
        <a:blip r:embed="rId1"/>
        <a:stretch>
          <a:fillRect/>
        </a:stretch>
      </xdr:blipFill>
      <xdr:spPr>
        <a:xfrm>
          <a:off x="0" y="0"/>
          <a:ext cx="20383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1781175</xdr:colOff>
      <xdr:row>3</xdr:row>
      <xdr:rowOff>161925</xdr:rowOff>
    </xdr:to>
    <xdr:pic>
      <xdr:nvPicPr>
        <xdr:cNvPr id="1" name="Image 2"/>
        <xdr:cNvPicPr preferRelativeResize="1">
          <a:picLocks noChangeAspect="1"/>
        </xdr:cNvPicPr>
      </xdr:nvPicPr>
      <xdr:blipFill>
        <a:blip r:embed="rId1"/>
        <a:stretch>
          <a:fillRect/>
        </a:stretch>
      </xdr:blipFill>
      <xdr:spPr>
        <a:xfrm>
          <a:off x="0" y="161925"/>
          <a:ext cx="17811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ERAU1\Downloads\Formulaire_ECOPERFORMA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1. Demande"/>
      <sheetName val="Feuil1"/>
      <sheetName val="2. Plan d'implantation"/>
      <sheetName val="4. Résultats plan implantation"/>
      <sheetName val="Autres sites"/>
      <sheetName val="Code SCIAN"/>
    </sheetNames>
    <sheetDataSet>
      <sheetData sheetId="0">
        <row r="5">
          <cell r="V5" t="str">
            <v>Choisir…</v>
          </cell>
        </row>
        <row r="6">
          <cell r="D6" t="str">
            <v>Choisir…</v>
          </cell>
          <cell r="F6" t="str">
            <v>Choisir…</v>
          </cell>
          <cell r="I6" t="str">
            <v>Choisir…</v>
          </cell>
          <cell r="K6" t="str">
            <v>Choisir…</v>
          </cell>
          <cell r="M6" t="str">
            <v>Choisir…</v>
          </cell>
          <cell r="P6" t="str">
            <v>BT</v>
          </cell>
          <cell r="V6" t="str">
            <v>Gouvernement</v>
          </cell>
        </row>
        <row r="7">
          <cell r="B7" t="str">
            <v>Choisir…</v>
          </cell>
          <cell r="D7" t="str">
            <v>OIQ</v>
          </cell>
          <cell r="F7" t="str">
            <v>Analyse</v>
          </cell>
          <cell r="I7" t="str">
            <v>Énergie</v>
          </cell>
          <cell r="K7" t="str">
            <v>Implanter</v>
          </cell>
          <cell r="M7" t="str">
            <v>Implantée</v>
          </cell>
          <cell r="P7" t="str">
            <v>HT</v>
          </cell>
          <cell r="V7" t="str">
            <v>Gouvernement (Optimisation réfrigération)</v>
          </cell>
        </row>
        <row r="8">
          <cell r="B8" t="str">
            <v>Madame</v>
          </cell>
          <cell r="D8" t="str">
            <v>OIFQ</v>
          </cell>
          <cell r="F8" t="str">
            <v>Gestion de l'énergie</v>
          </cell>
          <cell r="I8" t="str">
            <v>Fugitive</v>
          </cell>
          <cell r="K8" t="str">
            <v>Ne rien faire</v>
          </cell>
          <cell r="M8" t="str">
            <v>En cours d'implantation</v>
          </cell>
          <cell r="V8" t="str">
            <v>Privé (Agriculture)</v>
          </cell>
        </row>
        <row r="9">
          <cell r="B9" t="str">
            <v>Monsieur</v>
          </cell>
          <cell r="D9" t="str">
            <v>OAQ</v>
          </cell>
          <cell r="F9" t="str">
            <v>Eff_énergétique</v>
          </cell>
          <cell r="I9" t="str">
            <v>Aucun</v>
          </cell>
          <cell r="K9" t="str">
            <v>Étude supplémentaire requise</v>
          </cell>
          <cell r="M9" t="str">
            <v>Dans la prochaine année</v>
          </cell>
          <cell r="V9" t="str">
            <v>Privé (Commercial)</v>
          </cell>
        </row>
        <row r="10">
          <cell r="F10" t="str">
            <v>Conversion</v>
          </cell>
          <cell r="M10" t="str">
            <v>D'ici deux ans</v>
          </cell>
          <cell r="V10" t="str">
            <v>Privé (Optimisation réfrigération)</v>
          </cell>
        </row>
        <row r="11">
          <cell r="F11" t="str">
            <v>Émissions fugitives</v>
          </cell>
          <cell r="M11" t="str">
            <v>Ne sera pas implantée</v>
          </cell>
          <cell r="V11" t="str">
            <v>Privé (Industriel)</v>
          </cell>
        </row>
        <row r="12">
          <cell r="V12" t="str">
            <v>Privé (Industriel optimisation réfrigération)</v>
          </cell>
        </row>
        <row r="13">
          <cell r="V13" t="str">
            <v>Santé</v>
          </cell>
        </row>
        <row r="14">
          <cell r="V14" t="str">
            <v>Santé (Optimisation réfrigération)</v>
          </cell>
        </row>
        <row r="15">
          <cell r="V15" t="str">
            <v>Éducation</v>
          </cell>
        </row>
        <row r="16">
          <cell r="G16" t="str">
            <v>Choisir…</v>
          </cell>
          <cell r="V16" t="str">
            <v>Éducation (Optimisation réfrigération)</v>
          </cell>
        </row>
        <row r="17">
          <cell r="G17" t="str">
            <v>Subvention</v>
          </cell>
          <cell r="V17" t="str">
            <v>Municipal</v>
          </cell>
        </row>
        <row r="18">
          <cell r="G18" t="str">
            <v>Emprunt</v>
          </cell>
          <cell r="V18" t="str">
            <v>Municipal (Optimisation réfrigération)</v>
          </cell>
        </row>
        <row r="19">
          <cell r="G19" t="str">
            <v>Prêt</v>
          </cell>
          <cell r="V19" t="str">
            <v>OSBL (Agriculture)</v>
          </cell>
        </row>
        <row r="20">
          <cell r="G20" t="str">
            <v>Équité</v>
          </cell>
          <cell r="V20" t="str">
            <v>OSBL (Institutionnel)</v>
          </cell>
        </row>
        <row r="21">
          <cell r="V21" t="str">
            <v>OSBL (Commercial)</v>
          </cell>
        </row>
        <row r="22">
          <cell r="V22" t="str">
            <v>OSBL (Optimisation réfrigération)</v>
          </cell>
        </row>
        <row r="23">
          <cell r="V23" t="str">
            <v>OSBL (Industriel)</v>
          </cell>
        </row>
        <row r="26">
          <cell r="A26" t="str">
            <v>Oui</v>
          </cell>
        </row>
        <row r="27">
          <cell r="A27" t="str">
            <v>Non</v>
          </cell>
        </row>
        <row r="29">
          <cell r="B29" t="str">
            <v>Choisir…</v>
          </cell>
        </row>
        <row r="30">
          <cell r="B30" t="str">
            <v>MERN</v>
          </cell>
        </row>
        <row r="31">
          <cell r="B31" t="str">
            <v>HQ</v>
          </cell>
        </row>
        <row r="32">
          <cell r="B32" t="str">
            <v>Énergir</v>
          </cell>
        </row>
        <row r="33">
          <cell r="B33" t="str">
            <v>Fédéral</v>
          </cell>
        </row>
        <row r="34">
          <cell r="B34" t="str">
            <v>IQ</v>
          </cell>
        </row>
        <row r="35">
          <cell r="B35" t="str">
            <v>Banque/Caisse</v>
          </cell>
        </row>
        <row r="36">
          <cell r="B36" t="str">
            <v>TDDC</v>
          </cell>
        </row>
        <row r="37">
          <cell r="B37" t="str">
            <v>BDC</v>
          </cell>
        </row>
        <row r="38">
          <cell r="B38" t="str">
            <v>CDE</v>
          </cell>
        </row>
        <row r="39">
          <cell r="B39" t="str">
            <v>MAPAQ</v>
          </cell>
        </row>
        <row r="40">
          <cell r="B40" t="str">
            <v>ME</v>
          </cell>
        </row>
        <row r="41">
          <cell r="B41" t="str">
            <v>MEI</v>
          </cell>
        </row>
        <row r="42">
          <cell r="B42" t="str">
            <v>MSSS</v>
          </cell>
        </row>
        <row r="43">
          <cell r="B43" t="str">
            <v>MTQ</v>
          </cell>
        </row>
        <row r="44">
          <cell r="B44" t="str">
            <v>Autre…</v>
          </cell>
        </row>
        <row r="45">
          <cell r="B45" t="str">
            <v>Requérant</v>
          </cell>
        </row>
        <row r="47">
          <cell r="B47" t="str">
            <v>Choisir…</v>
          </cell>
        </row>
        <row r="48">
          <cell r="B48" t="str">
            <v>kg</v>
          </cell>
          <cell r="E48" t="str">
            <v>m²</v>
          </cell>
        </row>
        <row r="49">
          <cell r="B49" t="str">
            <v>lbs</v>
          </cell>
          <cell r="E49" t="str">
            <v>pi²</v>
          </cell>
        </row>
        <row r="75">
          <cell r="B75" t="str">
            <v>Électricité</v>
          </cell>
          <cell r="AA75" t="str">
            <v>R-744 (CO2)</v>
          </cell>
        </row>
        <row r="76">
          <cell r="B76" t="str">
            <v>Gaz naturel</v>
          </cell>
          <cell r="AA76" t="str">
            <v>HFC-134a</v>
          </cell>
        </row>
        <row r="77">
          <cell r="B77" t="str">
            <v>Mazout léger no 2</v>
          </cell>
          <cell r="AA77" t="str">
            <v>R-448A</v>
          </cell>
        </row>
        <row r="78">
          <cell r="B78" t="str">
            <v>Mazout lourd (nos 4, 5 et 6)</v>
          </cell>
          <cell r="AA78" t="str">
            <v>R-404A</v>
          </cell>
        </row>
        <row r="79">
          <cell r="B79" t="str">
            <v>Propane</v>
          </cell>
          <cell r="AA79" t="str">
            <v>R-407A</v>
          </cell>
        </row>
        <row r="80">
          <cell r="B80" t="str">
            <v>Diesel</v>
          </cell>
          <cell r="AA80" t="str">
            <v>Ammoniac (R-717)</v>
          </cell>
        </row>
        <row r="81">
          <cell r="B81" t="str">
            <v>Essence (automobile)</v>
          </cell>
          <cell r="AA81" t="str">
            <v>Bromure de méthyle</v>
          </cell>
        </row>
        <row r="82">
          <cell r="B82" t="str">
            <v>Essence (aviation)</v>
          </cell>
          <cell r="AA82" t="str">
            <v>CFC-11</v>
          </cell>
        </row>
        <row r="83">
          <cell r="B83" t="str">
            <v>Carburéacteur</v>
          </cell>
          <cell r="AA83" t="str">
            <v>CFC-113</v>
          </cell>
        </row>
        <row r="84">
          <cell r="B84" t="str">
            <v>Kérosène</v>
          </cell>
          <cell r="AA84" t="str">
            <v>CFC-114</v>
          </cell>
        </row>
        <row r="85">
          <cell r="B85" t="str">
            <v>Bitume</v>
          </cell>
          <cell r="AA85" t="str">
            <v>CFC-115</v>
          </cell>
        </row>
        <row r="86">
          <cell r="B86" t="str">
            <v>Gaz de distillation (du raffinage)</v>
          </cell>
          <cell r="AA86" t="str">
            <v>CFC-12</v>
          </cell>
        </row>
        <row r="87">
          <cell r="B87" t="str">
            <v>Lignite</v>
          </cell>
          <cell r="AA87" t="str">
            <v>CFC-13</v>
          </cell>
        </row>
        <row r="88">
          <cell r="B88" t="str">
            <v>Butane</v>
          </cell>
          <cell r="AA88" t="str">
            <v>Halon 1301</v>
          </cell>
        </row>
        <row r="89">
          <cell r="B89" t="str">
            <v>Éthane</v>
          </cell>
          <cell r="AA89" t="str">
            <v>Halon-1211</v>
          </cell>
        </row>
        <row r="90">
          <cell r="B90" t="str">
            <v>Coke de charbon</v>
          </cell>
          <cell r="AA90" t="str">
            <v>Halon-2402</v>
          </cell>
        </row>
        <row r="91">
          <cell r="B91" t="str">
            <v>Coke de pétrole (raffinage)</v>
          </cell>
          <cell r="AA91" t="str">
            <v>HCFC-123</v>
          </cell>
        </row>
        <row r="92">
          <cell r="B92" t="str">
            <v>Charbon de bois</v>
          </cell>
          <cell r="AA92" t="str">
            <v>HCFC-124</v>
          </cell>
        </row>
        <row r="93">
          <cell r="B93" t="str">
            <v>Liqueur usée de cuisson base sèche</v>
          </cell>
          <cell r="AA93" t="str">
            <v>HCFC-141b</v>
          </cell>
        </row>
        <row r="94">
          <cell r="B94" t="str">
            <v>Bi-énergie chauffage électrique</v>
          </cell>
          <cell r="AA94" t="str">
            <v>HCFC-142b</v>
          </cell>
        </row>
        <row r="95">
          <cell r="B95" t="str">
            <v>Autre</v>
          </cell>
          <cell r="AA95" t="str">
            <v>HCFC-22 (R-22)</v>
          </cell>
        </row>
        <row r="96">
          <cell r="B96" t="str">
            <v>Vapeur</v>
          </cell>
          <cell r="AA96" t="str">
            <v>HCFC-225ca</v>
          </cell>
        </row>
        <row r="97">
          <cell r="B97" t="str">
            <v>Biomasse résiduelle</v>
          </cell>
          <cell r="AA97" t="str">
            <v>HCFC-225cb</v>
          </cell>
        </row>
        <row r="98">
          <cell r="B98" t="str">
            <v>Écorces</v>
          </cell>
          <cell r="AA98" t="str">
            <v>Hexafluorure de soufre</v>
          </cell>
        </row>
        <row r="99">
          <cell r="B99" t="str">
            <v>Gaz de distillation (de valorisation)</v>
          </cell>
          <cell r="AA99" t="str">
            <v>HFC-125</v>
          </cell>
        </row>
        <row r="100">
          <cell r="B100" t="str">
            <v>CRD</v>
          </cell>
          <cell r="AA100" t="str">
            <v>HFC-134</v>
          </cell>
        </row>
        <row r="101">
          <cell r="B101" t="str">
            <v>Lubrifiants (huiles usées)</v>
          </cell>
          <cell r="AA101" t="str">
            <v>HFC-143</v>
          </cell>
        </row>
        <row r="102">
          <cell r="B102" t="str">
            <v>Mazout léger no 1</v>
          </cell>
          <cell r="AA102" t="str">
            <v>HFC-143a</v>
          </cell>
        </row>
        <row r="103">
          <cell r="B103" t="str">
            <v>Coke de pétrole (de valorisation)</v>
          </cell>
          <cell r="AA103" t="str">
            <v>HFC-152a</v>
          </cell>
        </row>
        <row r="104">
          <cell r="B104" t="str">
            <v>Éthanol (100%)</v>
          </cell>
          <cell r="AA104" t="str">
            <v>HFC-161</v>
          </cell>
        </row>
        <row r="105">
          <cell r="B105" t="str">
            <v>Biodiésel</v>
          </cell>
          <cell r="AA105" t="str">
            <v>HFC-227ea</v>
          </cell>
        </row>
        <row r="106">
          <cell r="B106" t="str">
            <v>Gras animal fondu</v>
          </cell>
          <cell r="AA106" t="str">
            <v>HFC-23</v>
          </cell>
        </row>
        <row r="107">
          <cell r="B107" t="str">
            <v>Huile végétale</v>
          </cell>
          <cell r="AA107" t="str">
            <v>HFC-236cb</v>
          </cell>
        </row>
        <row r="108">
          <cell r="B108" t="str">
            <v>Charbon bitumineux étranger</v>
          </cell>
          <cell r="AA108" t="str">
            <v>HFC-236ea</v>
          </cell>
        </row>
        <row r="109">
          <cell r="B109" t="str">
            <v>Matières résiduelles collectés par une municipalité</v>
          </cell>
          <cell r="AA109" t="str">
            <v>HFC-236fa</v>
          </cell>
        </row>
        <row r="110">
          <cell r="B110" t="str">
            <v>Tourbe</v>
          </cell>
          <cell r="AA110" t="str">
            <v>HFC-245ca</v>
          </cell>
        </row>
        <row r="111">
          <cell r="B111" t="str">
            <v>Pneus</v>
          </cell>
          <cell r="AA111" t="str">
            <v>HFC-245fa</v>
          </cell>
        </row>
        <row r="112">
          <cell r="B112" t="str">
            <v>Sous-produits agricoles (qui ne sont pas destinés à la consommation)</v>
          </cell>
          <cell r="AA112" t="str">
            <v>HFC-245fa</v>
          </cell>
        </row>
        <row r="113">
          <cell r="B113" t="str">
            <v>Sous-produits de la biomasse (résidus animaux et végétaux, excluant les résidus de bois et la liqueur de cuisson)</v>
          </cell>
          <cell r="AA113" t="str">
            <v>HFC-32</v>
          </cell>
        </row>
        <row r="114">
          <cell r="B114" t="str">
            <v>Gaz de cokerie</v>
          </cell>
          <cell r="AA114" t="str">
            <v>HFC-365mfc</v>
          </cell>
        </row>
        <row r="115">
          <cell r="B115" t="str">
            <v>Biogaz (portion méthane)</v>
          </cell>
          <cell r="AA115" t="str">
            <v>HFC-365mfc</v>
          </cell>
        </row>
        <row r="116">
          <cell r="B116" t="str">
            <v>Gaz d'enfouissement (portion méthane)</v>
          </cell>
          <cell r="AA116" t="str">
            <v>HFC-41</v>
          </cell>
        </row>
        <row r="117">
          <cell r="AA117" t="str">
            <v>HFC-43-10mee</v>
          </cell>
        </row>
        <row r="118">
          <cell r="AA118" t="str">
            <v>Méthane (R-50)</v>
          </cell>
        </row>
        <row r="119">
          <cell r="AA119" t="str">
            <v>Méthylchloroforme</v>
          </cell>
        </row>
        <row r="120">
          <cell r="AA120" t="str">
            <v>Oxyde nitreux (R-744a)</v>
          </cell>
        </row>
        <row r="121">
          <cell r="AA121" t="str">
            <v>Oxyfume 88/12</v>
          </cell>
        </row>
        <row r="122">
          <cell r="AA122" t="str">
            <v>Perfluorobutane (PFC-3-1-10)</v>
          </cell>
        </row>
        <row r="123">
          <cell r="AA123" t="str">
            <v>Perfluorocyclobutane (PFC-318)</v>
          </cell>
        </row>
        <row r="124">
          <cell r="AA124" t="str">
            <v>Perfluoroéthane (PFC-116)</v>
          </cell>
        </row>
        <row r="125">
          <cell r="AA125" t="str">
            <v>Perfluorohexane (PFC5-1-14)</v>
          </cell>
        </row>
        <row r="126">
          <cell r="AA126" t="str">
            <v>Perfluorométhane (PFC-14)</v>
          </cell>
        </row>
        <row r="127">
          <cell r="AA127" t="str">
            <v>Perfluoropentane (PFC-4-1-12)</v>
          </cell>
        </row>
        <row r="128">
          <cell r="AA128" t="str">
            <v>Perfluoropropane (PFC-218)</v>
          </cell>
        </row>
        <row r="129">
          <cell r="AA129" t="str">
            <v>R-290</v>
          </cell>
        </row>
        <row r="130">
          <cell r="AA130" t="str">
            <v>R-400</v>
          </cell>
        </row>
        <row r="131">
          <cell r="AA131" t="str">
            <v>R-401A</v>
          </cell>
        </row>
        <row r="132">
          <cell r="AA132" t="str">
            <v>R-401B</v>
          </cell>
        </row>
        <row r="133">
          <cell r="AA133" t="str">
            <v>R-401C</v>
          </cell>
        </row>
        <row r="134">
          <cell r="AA134" t="str">
            <v>R-402A</v>
          </cell>
        </row>
        <row r="135">
          <cell r="AA135" t="str">
            <v>R-402B</v>
          </cell>
        </row>
        <row r="136">
          <cell r="AA136" t="str">
            <v>R-403A</v>
          </cell>
        </row>
        <row r="137">
          <cell r="AA137" t="str">
            <v>R-403B</v>
          </cell>
        </row>
        <row r="138">
          <cell r="AA138" t="str">
            <v>R-405A</v>
          </cell>
        </row>
        <row r="139">
          <cell r="AA139" t="str">
            <v>R-406A</v>
          </cell>
        </row>
        <row r="140">
          <cell r="AA140" t="str">
            <v>R-407B</v>
          </cell>
        </row>
        <row r="141">
          <cell r="AA141" t="str">
            <v>R-407C</v>
          </cell>
        </row>
        <row r="142">
          <cell r="AA142" t="str">
            <v>R-407D</v>
          </cell>
        </row>
        <row r="143">
          <cell r="AA143" t="str">
            <v>R-407E</v>
          </cell>
        </row>
        <row r="144">
          <cell r="AA144" t="str">
            <v>R-408A</v>
          </cell>
        </row>
        <row r="145">
          <cell r="AA145" t="str">
            <v>R-409A</v>
          </cell>
        </row>
        <row r="146">
          <cell r="AA146" t="str">
            <v>R-409B</v>
          </cell>
        </row>
        <row r="147">
          <cell r="AA147" t="str">
            <v>R-410A</v>
          </cell>
        </row>
        <row r="148">
          <cell r="AA148" t="str">
            <v>R-410B</v>
          </cell>
        </row>
        <row r="149">
          <cell r="AA149" t="str">
            <v>R-411A</v>
          </cell>
        </row>
        <row r="150">
          <cell r="AA150" t="str">
            <v>R-411B</v>
          </cell>
        </row>
        <row r="151">
          <cell r="AA151" t="str">
            <v>R-412A</v>
          </cell>
        </row>
        <row r="152">
          <cell r="AA152" t="str">
            <v>R-413A</v>
          </cell>
        </row>
        <row r="153">
          <cell r="AA153" t="str">
            <v>R-414A</v>
          </cell>
        </row>
        <row r="154">
          <cell r="AA154" t="str">
            <v>R-414B</v>
          </cell>
        </row>
        <row r="155">
          <cell r="AA155" t="str">
            <v>R-415A</v>
          </cell>
        </row>
        <row r="156">
          <cell r="AA156" t="str">
            <v>R-415B</v>
          </cell>
        </row>
        <row r="157">
          <cell r="AA157" t="str">
            <v>R-416A</v>
          </cell>
        </row>
        <row r="158">
          <cell r="AA158" t="str">
            <v>R-417A</v>
          </cell>
        </row>
        <row r="159">
          <cell r="AA159" t="str">
            <v>R-418A</v>
          </cell>
        </row>
        <row r="160">
          <cell r="AA160" t="str">
            <v>R-419A</v>
          </cell>
        </row>
        <row r="161">
          <cell r="AA161" t="str">
            <v>R-420A</v>
          </cell>
        </row>
        <row r="162">
          <cell r="AA162" t="str">
            <v>R-421A</v>
          </cell>
        </row>
        <row r="163">
          <cell r="AA163" t="str">
            <v>R-421B</v>
          </cell>
        </row>
        <row r="164">
          <cell r="AA164" t="str">
            <v>R-422A</v>
          </cell>
        </row>
        <row r="165">
          <cell r="AA165" t="str">
            <v>R-422B</v>
          </cell>
        </row>
        <row r="166">
          <cell r="AA166" t="str">
            <v>R-422C</v>
          </cell>
        </row>
        <row r="167">
          <cell r="AA167" t="str">
            <v>R-422D</v>
          </cell>
        </row>
        <row r="168">
          <cell r="AA168" t="str">
            <v>R-423A</v>
          </cell>
        </row>
        <row r="169">
          <cell r="AA169" t="str">
            <v>R-424A</v>
          </cell>
        </row>
        <row r="170">
          <cell r="AA170" t="str">
            <v>R-425A</v>
          </cell>
        </row>
        <row r="171">
          <cell r="AA171" t="str">
            <v>R-426A</v>
          </cell>
        </row>
        <row r="172">
          <cell r="AA172" t="str">
            <v>R-427A</v>
          </cell>
        </row>
        <row r="173">
          <cell r="AA173" t="str">
            <v>R-428A</v>
          </cell>
        </row>
        <row r="174">
          <cell r="AA174" t="str">
            <v>R-438A</v>
          </cell>
        </row>
        <row r="175">
          <cell r="AA175" t="str">
            <v>R-500</v>
          </cell>
        </row>
        <row r="176">
          <cell r="AA176" t="str">
            <v>R-501</v>
          </cell>
        </row>
        <row r="177">
          <cell r="AA177" t="str">
            <v>R-502</v>
          </cell>
        </row>
        <row r="178">
          <cell r="AA178" t="str">
            <v>R-503</v>
          </cell>
        </row>
        <row r="179">
          <cell r="AA179" t="str">
            <v>R-504</v>
          </cell>
        </row>
        <row r="180">
          <cell r="AA180" t="str">
            <v>R-507a</v>
          </cell>
        </row>
        <row r="181">
          <cell r="AA181" t="str">
            <v>R-508A</v>
          </cell>
        </row>
        <row r="182">
          <cell r="AA182" t="str">
            <v>R-508B</v>
          </cell>
        </row>
        <row r="183">
          <cell r="AA183" t="str">
            <v>R-509A</v>
          </cell>
        </row>
        <row r="184">
          <cell r="AA184" t="str">
            <v>R-600A</v>
          </cell>
        </row>
        <row r="185">
          <cell r="AA185" t="str">
            <v>R-610A</v>
          </cell>
        </row>
        <row r="186">
          <cell r="AA186" t="str">
            <v>Tétrachlorure de carbone</v>
          </cell>
        </row>
        <row r="187">
          <cell r="AA187" t="str">
            <v>Trifluorure d'azote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7">
    <tabColor rgb="FFFF0000"/>
    <pageSetUpPr fitToPage="1"/>
  </sheetPr>
  <dimension ref="B1:AC102"/>
  <sheetViews>
    <sheetView showGridLines="0" showRowColHeaders="0" tabSelected="1" zoomScale="115" zoomScaleNormal="115" workbookViewId="0" topLeftCell="A1">
      <selection activeCell="B2" sqref="B2"/>
    </sheetView>
  </sheetViews>
  <sheetFormatPr defaultColWidth="11.421875" defaultRowHeight="15"/>
  <cols>
    <col min="1" max="1" width="2.28125" style="0" customWidth="1"/>
    <col min="11" max="11" width="2.28125" style="0" customWidth="1"/>
    <col min="13" max="13" width="7.8515625" style="0" customWidth="1"/>
    <col min="14" max="14" width="11.421875" style="0" customWidth="1"/>
  </cols>
  <sheetData>
    <row r="1" spans="2:10" s="440" customFormat="1" ht="60" customHeight="1">
      <c r="B1" s="555"/>
      <c r="C1" s="555"/>
      <c r="D1" s="555"/>
      <c r="E1" s="555"/>
      <c r="F1" s="555"/>
      <c r="G1" s="555"/>
      <c r="H1" s="555"/>
      <c r="I1" s="555"/>
      <c r="J1" s="555"/>
    </row>
    <row r="2" spans="2:4" ht="18" customHeight="1" thickBot="1">
      <c r="B2" s="451"/>
      <c r="D2" s="450"/>
    </row>
    <row r="3" spans="2:13" s="547" customFormat="1" ht="18" customHeight="1">
      <c r="B3" s="449" t="s">
        <v>1057</v>
      </c>
      <c r="C3" s="448"/>
      <c r="D3" s="448"/>
      <c r="E3" s="448"/>
      <c r="F3" s="448"/>
      <c r="G3" s="448"/>
      <c r="H3" s="448"/>
      <c r="I3" s="448"/>
      <c r="J3" s="447"/>
      <c r="K3" s="446"/>
      <c r="L3" s="446"/>
      <c r="M3" s="446"/>
    </row>
    <row r="4" spans="2:29" s="230" customFormat="1" ht="9.75" customHeight="1">
      <c r="B4" s="546"/>
      <c r="C4" s="544"/>
      <c r="D4" s="544"/>
      <c r="E4" s="544"/>
      <c r="F4" s="544"/>
      <c r="G4" s="544"/>
      <c r="H4" s="544"/>
      <c r="I4" s="544"/>
      <c r="J4" s="545"/>
      <c r="K4" s="544"/>
      <c r="L4" s="544"/>
      <c r="M4" s="544"/>
      <c r="R4" s="444"/>
      <c r="S4" s="434"/>
      <c r="T4" s="434"/>
      <c r="U4" s="434"/>
      <c r="V4" s="434"/>
      <c r="W4" s="434"/>
      <c r="X4" s="434"/>
      <c r="Y4" s="434"/>
      <c r="Z4" s="434"/>
      <c r="AA4" s="434"/>
      <c r="AB4" s="434"/>
      <c r="AC4" s="434"/>
    </row>
    <row r="5" spans="2:29" s="230" customFormat="1" ht="24" customHeight="1">
      <c r="B5" s="556" t="s">
        <v>1056</v>
      </c>
      <c r="C5" s="557"/>
      <c r="D5" s="557"/>
      <c r="E5" s="557"/>
      <c r="F5" s="557"/>
      <c r="G5" s="557"/>
      <c r="H5" s="557"/>
      <c r="I5" s="557"/>
      <c r="J5" s="558"/>
      <c r="K5" s="544"/>
      <c r="L5" s="544"/>
      <c r="M5" s="544"/>
      <c r="R5" s="444"/>
      <c r="S5" s="445"/>
      <c r="T5" s="445"/>
      <c r="U5" s="445"/>
      <c r="V5" s="445"/>
      <c r="W5" s="445"/>
      <c r="X5" s="445"/>
      <c r="Y5" s="445"/>
      <c r="Z5" s="445"/>
      <c r="AA5" s="445"/>
      <c r="AB5" s="445"/>
      <c r="AC5" s="434"/>
    </row>
    <row r="6" spans="2:29" s="230" customFormat="1" ht="9.75" customHeight="1">
      <c r="B6" s="546"/>
      <c r="C6" s="544"/>
      <c r="D6" s="544"/>
      <c r="E6" s="544"/>
      <c r="F6" s="544"/>
      <c r="G6" s="544"/>
      <c r="H6" s="544"/>
      <c r="I6" s="544"/>
      <c r="J6" s="545"/>
      <c r="K6" s="544"/>
      <c r="L6" s="544"/>
      <c r="M6" s="544"/>
      <c r="R6" s="444"/>
      <c r="S6" s="445"/>
      <c r="T6" s="445"/>
      <c r="U6" s="445"/>
      <c r="V6" s="445"/>
      <c r="W6" s="445"/>
      <c r="X6" s="445"/>
      <c r="Y6" s="445"/>
      <c r="Z6" s="445"/>
      <c r="AA6" s="445"/>
      <c r="AB6" s="445"/>
      <c r="AC6" s="434"/>
    </row>
    <row r="7" spans="2:29" s="230" customFormat="1" ht="18" customHeight="1">
      <c r="B7" s="559" t="s">
        <v>1124</v>
      </c>
      <c r="C7" s="560"/>
      <c r="D7" s="560"/>
      <c r="E7" s="560"/>
      <c r="F7" s="560"/>
      <c r="G7" s="560"/>
      <c r="H7" s="560"/>
      <c r="I7" s="560"/>
      <c r="J7" s="561"/>
      <c r="K7" s="543"/>
      <c r="L7" s="543"/>
      <c r="M7" s="543"/>
      <c r="R7" s="434"/>
      <c r="S7" s="434"/>
      <c r="T7" s="434"/>
      <c r="U7" s="434"/>
      <c r="V7" s="434"/>
      <c r="W7" s="434"/>
      <c r="X7" s="434"/>
      <c r="Y7" s="434"/>
      <c r="Z7" s="434"/>
      <c r="AA7" s="434"/>
      <c r="AB7" s="434"/>
      <c r="AC7" s="434"/>
    </row>
    <row r="8" spans="2:29" s="230" customFormat="1" ht="9.75" customHeight="1">
      <c r="B8" s="562"/>
      <c r="C8" s="563"/>
      <c r="D8" s="563"/>
      <c r="E8" s="563"/>
      <c r="F8" s="563"/>
      <c r="G8" s="563"/>
      <c r="H8" s="563"/>
      <c r="I8" s="563"/>
      <c r="J8" s="564"/>
      <c r="K8" s="544"/>
      <c r="L8" s="544"/>
      <c r="M8" s="544"/>
      <c r="R8" s="434"/>
      <c r="S8" s="434"/>
      <c r="T8" s="434"/>
      <c r="U8" s="434"/>
      <c r="V8" s="434"/>
      <c r="W8" s="434"/>
      <c r="X8" s="434"/>
      <c r="Y8" s="434"/>
      <c r="Z8" s="434"/>
      <c r="AA8" s="434"/>
      <c r="AB8" s="434"/>
      <c r="AC8" s="434"/>
    </row>
    <row r="9" spans="2:29" s="230" customFormat="1" ht="15.75" customHeight="1">
      <c r="B9" s="565"/>
      <c r="C9" s="566"/>
      <c r="D9" s="566"/>
      <c r="E9" s="566"/>
      <c r="F9" s="566"/>
      <c r="G9" s="566"/>
      <c r="H9" s="566"/>
      <c r="I9" s="566"/>
      <c r="J9" s="567"/>
      <c r="K9" s="544"/>
      <c r="L9" s="544"/>
      <c r="M9" s="544"/>
      <c r="R9" s="434"/>
      <c r="S9" s="434"/>
      <c r="T9" s="434"/>
      <c r="U9" s="434"/>
      <c r="V9" s="434"/>
      <c r="W9" s="434"/>
      <c r="X9" s="434"/>
      <c r="Y9" s="434"/>
      <c r="Z9" s="434"/>
      <c r="AA9" s="434"/>
      <c r="AB9" s="434"/>
      <c r="AC9" s="434"/>
    </row>
    <row r="10" spans="2:29" s="230" customFormat="1" ht="6" customHeight="1">
      <c r="B10" s="568"/>
      <c r="C10" s="569"/>
      <c r="D10" s="569"/>
      <c r="E10" s="569"/>
      <c r="F10" s="569"/>
      <c r="G10" s="569"/>
      <c r="H10" s="569"/>
      <c r="I10" s="569"/>
      <c r="J10" s="570"/>
      <c r="K10" s="544"/>
      <c r="L10" s="544"/>
      <c r="M10" s="544"/>
      <c r="R10" s="434"/>
      <c r="S10" s="434"/>
      <c r="T10" s="434"/>
      <c r="U10" s="434"/>
      <c r="V10" s="434"/>
      <c r="W10" s="434"/>
      <c r="X10" s="434"/>
      <c r="Y10" s="434"/>
      <c r="Z10" s="434"/>
      <c r="AA10" s="434"/>
      <c r="AB10" s="434"/>
      <c r="AC10" s="434"/>
    </row>
    <row r="11" spans="2:29" s="230" customFormat="1" ht="15.75" customHeight="1">
      <c r="B11" s="571" t="s">
        <v>1132</v>
      </c>
      <c r="C11" s="566"/>
      <c r="D11" s="566"/>
      <c r="E11" s="566"/>
      <c r="F11" s="566"/>
      <c r="G11" s="566"/>
      <c r="H11" s="566"/>
      <c r="I11" s="566"/>
      <c r="J11" s="567"/>
      <c r="K11" s="544"/>
      <c r="L11" s="544"/>
      <c r="M11" s="544"/>
      <c r="R11" s="434"/>
      <c r="S11" s="434"/>
      <c r="T11" s="434"/>
      <c r="U11" s="434"/>
      <c r="V11" s="434"/>
      <c r="W11" s="434"/>
      <c r="X11" s="434"/>
      <c r="Y11" s="434"/>
      <c r="Z11" s="434"/>
      <c r="AA11" s="434"/>
      <c r="AB11" s="434"/>
      <c r="AC11" s="434"/>
    </row>
    <row r="12" spans="2:29" s="230" customFormat="1" ht="15.75" customHeight="1">
      <c r="B12" s="571" t="s">
        <v>1133</v>
      </c>
      <c r="C12" s="566"/>
      <c r="D12" s="566"/>
      <c r="E12" s="566"/>
      <c r="F12" s="566"/>
      <c r="G12" s="566"/>
      <c r="H12" s="566"/>
      <c r="I12" s="566"/>
      <c r="J12" s="567"/>
      <c r="K12" s="544"/>
      <c r="L12" s="544"/>
      <c r="M12" s="544"/>
      <c r="R12" s="434"/>
      <c r="S12" s="434"/>
      <c r="T12" s="434"/>
      <c r="U12" s="434"/>
      <c r="V12" s="434"/>
      <c r="W12" s="434"/>
      <c r="X12" s="434"/>
      <c r="Y12" s="434"/>
      <c r="Z12" s="434"/>
      <c r="AA12" s="434"/>
      <c r="AB12" s="434"/>
      <c r="AC12" s="434"/>
    </row>
    <row r="13" spans="2:29" s="230" customFormat="1" ht="225" customHeight="1">
      <c r="B13" s="546"/>
      <c r="C13" s="544"/>
      <c r="D13" s="544"/>
      <c r="E13" s="544"/>
      <c r="F13" s="544"/>
      <c r="G13" s="544"/>
      <c r="H13" s="544"/>
      <c r="I13" s="544"/>
      <c r="J13" s="545"/>
      <c r="K13" s="544"/>
      <c r="L13" s="544"/>
      <c r="M13" s="544"/>
      <c r="R13" s="434"/>
      <c r="S13" s="434"/>
      <c r="T13" s="434"/>
      <c r="U13" s="434"/>
      <c r="V13" s="434"/>
      <c r="W13" s="434"/>
      <c r="X13" s="434"/>
      <c r="Y13" s="434"/>
      <c r="Z13" s="434"/>
      <c r="AA13" s="434"/>
      <c r="AB13" s="434"/>
      <c r="AC13" s="434"/>
    </row>
    <row r="14" spans="2:29" s="230" customFormat="1" ht="15.75" customHeight="1">
      <c r="B14" s="571" t="s">
        <v>1134</v>
      </c>
      <c r="C14" s="566"/>
      <c r="D14" s="566"/>
      <c r="E14" s="566"/>
      <c r="F14" s="566"/>
      <c r="G14" s="566"/>
      <c r="H14" s="566"/>
      <c r="I14" s="566"/>
      <c r="J14" s="567"/>
      <c r="K14" s="544"/>
      <c r="L14" s="544"/>
      <c r="M14" s="544"/>
      <c r="R14" s="434"/>
      <c r="S14" s="434"/>
      <c r="T14" s="434"/>
      <c r="U14" s="434"/>
      <c r="V14" s="434"/>
      <c r="W14" s="434"/>
      <c r="X14" s="434"/>
      <c r="Y14" s="434"/>
      <c r="Z14" s="434"/>
      <c r="AA14" s="434"/>
      <c r="AB14" s="434"/>
      <c r="AC14" s="434"/>
    </row>
    <row r="15" spans="2:29" s="230" customFormat="1" ht="9.75" customHeight="1">
      <c r="B15" s="572"/>
      <c r="C15" s="573"/>
      <c r="D15" s="573"/>
      <c r="E15" s="573"/>
      <c r="F15" s="573"/>
      <c r="G15" s="573"/>
      <c r="H15" s="573"/>
      <c r="I15" s="573"/>
      <c r="J15" s="574"/>
      <c r="K15" s="544"/>
      <c r="L15" s="544"/>
      <c r="M15" s="544"/>
      <c r="R15" s="434"/>
      <c r="S15" s="434"/>
      <c r="T15" s="434"/>
      <c r="U15" s="434"/>
      <c r="V15" s="434"/>
      <c r="W15" s="434"/>
      <c r="X15" s="434"/>
      <c r="Y15" s="434"/>
      <c r="Z15" s="434"/>
      <c r="AA15" s="434"/>
      <c r="AB15" s="434"/>
      <c r="AC15" s="434"/>
    </row>
    <row r="16" spans="2:29" s="230" customFormat="1" ht="18" customHeight="1">
      <c r="B16" s="559" t="s">
        <v>1135</v>
      </c>
      <c r="C16" s="560"/>
      <c r="D16" s="560"/>
      <c r="E16" s="560"/>
      <c r="F16" s="560"/>
      <c r="G16" s="560"/>
      <c r="H16" s="560"/>
      <c r="I16" s="560"/>
      <c r="J16" s="561"/>
      <c r="K16" s="543"/>
      <c r="L16" s="543"/>
      <c r="M16" s="543"/>
      <c r="R16" s="434"/>
      <c r="S16" s="434"/>
      <c r="T16" s="434"/>
      <c r="U16" s="434"/>
      <c r="V16" s="434"/>
      <c r="W16" s="434"/>
      <c r="X16" s="434"/>
      <c r="Y16" s="434"/>
      <c r="Z16" s="434"/>
      <c r="AA16" s="434"/>
      <c r="AB16" s="434"/>
      <c r="AC16" s="434"/>
    </row>
    <row r="17" spans="2:29" s="230" customFormat="1" ht="9.75" customHeight="1">
      <c r="B17" s="562"/>
      <c r="C17" s="563"/>
      <c r="D17" s="563"/>
      <c r="E17" s="563"/>
      <c r="F17" s="563"/>
      <c r="G17" s="563"/>
      <c r="H17" s="563"/>
      <c r="I17" s="563"/>
      <c r="J17" s="564"/>
      <c r="K17" s="544"/>
      <c r="L17" s="544"/>
      <c r="M17" s="544"/>
      <c r="R17" s="434"/>
      <c r="S17" s="434"/>
      <c r="T17" s="434"/>
      <c r="U17" s="434"/>
      <c r="V17" s="434"/>
      <c r="W17" s="434"/>
      <c r="X17" s="434"/>
      <c r="Y17" s="434"/>
      <c r="Z17" s="434"/>
      <c r="AA17" s="434"/>
      <c r="AB17" s="434"/>
      <c r="AC17" s="434"/>
    </row>
    <row r="18" spans="2:29" s="230" customFormat="1" ht="15.75" customHeight="1">
      <c r="B18" s="565" t="s">
        <v>1136</v>
      </c>
      <c r="C18" s="566"/>
      <c r="D18" s="566"/>
      <c r="E18" s="566"/>
      <c r="F18" s="566"/>
      <c r="G18" s="566"/>
      <c r="H18" s="566"/>
      <c r="I18" s="566"/>
      <c r="J18" s="567"/>
      <c r="K18" s="544"/>
      <c r="L18" s="544"/>
      <c r="M18" s="544"/>
      <c r="R18" s="434"/>
      <c r="S18" s="434"/>
      <c r="T18" s="434"/>
      <c r="U18" s="434"/>
      <c r="V18" s="434"/>
      <c r="W18" s="434"/>
      <c r="X18" s="434"/>
      <c r="Y18" s="434"/>
      <c r="Z18" s="434"/>
      <c r="AA18" s="434"/>
      <c r="AB18" s="434"/>
      <c r="AC18" s="434"/>
    </row>
    <row r="19" spans="2:29" s="230" customFormat="1" ht="42.75" customHeight="1">
      <c r="B19" s="556" t="s">
        <v>1137</v>
      </c>
      <c r="C19" s="566"/>
      <c r="D19" s="566"/>
      <c r="E19" s="566"/>
      <c r="F19" s="566"/>
      <c r="G19" s="566"/>
      <c r="H19" s="566"/>
      <c r="I19" s="566"/>
      <c r="J19" s="567"/>
      <c r="K19" s="544"/>
      <c r="L19" s="544"/>
      <c r="M19" s="544"/>
      <c r="R19" s="434"/>
      <c r="S19" s="434"/>
      <c r="T19" s="434"/>
      <c r="U19" s="434"/>
      <c r="V19" s="434"/>
      <c r="W19" s="434"/>
      <c r="X19" s="434"/>
      <c r="Y19" s="434"/>
      <c r="Z19" s="434"/>
      <c r="AA19" s="434"/>
      <c r="AB19" s="434"/>
      <c r="AC19" s="434"/>
    </row>
    <row r="20" spans="2:29" s="230" customFormat="1" ht="9.75" customHeight="1">
      <c r="B20" s="546"/>
      <c r="C20" s="544"/>
      <c r="D20" s="544"/>
      <c r="E20" s="544"/>
      <c r="F20" s="544"/>
      <c r="G20" s="544"/>
      <c r="H20" s="544"/>
      <c r="I20" s="544"/>
      <c r="J20" s="545"/>
      <c r="K20" s="544"/>
      <c r="L20" s="544"/>
      <c r="M20" s="544"/>
      <c r="R20" s="434"/>
      <c r="S20" s="434"/>
      <c r="T20" s="434"/>
      <c r="U20" s="434"/>
      <c r="V20" s="434"/>
      <c r="W20" s="434"/>
      <c r="X20" s="434"/>
      <c r="Y20" s="434"/>
      <c r="Z20" s="434"/>
      <c r="AA20" s="434"/>
      <c r="AB20" s="434"/>
      <c r="AC20" s="434"/>
    </row>
    <row r="21" spans="2:29" s="230" customFormat="1" ht="132" customHeight="1">
      <c r="B21" s="546"/>
      <c r="C21" s="544"/>
      <c r="D21" s="544"/>
      <c r="E21" s="544"/>
      <c r="F21" s="544"/>
      <c r="G21" s="544"/>
      <c r="H21" s="544"/>
      <c r="I21" s="544"/>
      <c r="J21" s="545"/>
      <c r="K21" s="544"/>
      <c r="L21" s="544"/>
      <c r="M21" s="544"/>
      <c r="R21" s="434"/>
      <c r="S21" s="434"/>
      <c r="T21" s="434"/>
      <c r="U21" s="434"/>
      <c r="V21" s="434"/>
      <c r="W21" s="434"/>
      <c r="X21" s="434"/>
      <c r="Y21" s="434"/>
      <c r="Z21" s="434"/>
      <c r="AA21" s="434"/>
      <c r="AB21" s="434"/>
      <c r="AC21" s="434"/>
    </row>
    <row r="22" spans="2:29" s="230" customFormat="1" ht="15.75" customHeight="1">
      <c r="B22" s="572"/>
      <c r="C22" s="573"/>
      <c r="D22" s="573"/>
      <c r="E22" s="573"/>
      <c r="F22" s="573"/>
      <c r="G22" s="573"/>
      <c r="H22" s="573"/>
      <c r="I22" s="573"/>
      <c r="J22" s="574"/>
      <c r="K22" s="544"/>
      <c r="L22" s="544"/>
      <c r="M22" s="544"/>
      <c r="R22" s="434"/>
      <c r="S22" s="434"/>
      <c r="T22" s="434"/>
      <c r="U22" s="434"/>
      <c r="V22" s="434"/>
      <c r="W22" s="434"/>
      <c r="X22" s="434"/>
      <c r="Y22" s="434"/>
      <c r="Z22" s="434"/>
      <c r="AA22" s="434"/>
      <c r="AB22" s="434"/>
      <c r="AC22" s="434"/>
    </row>
    <row r="23" spans="2:29" s="230" customFormat="1" ht="18" customHeight="1">
      <c r="B23" s="559" t="s">
        <v>1138</v>
      </c>
      <c r="C23" s="560"/>
      <c r="D23" s="560"/>
      <c r="E23" s="560"/>
      <c r="F23" s="560"/>
      <c r="G23" s="560"/>
      <c r="H23" s="560"/>
      <c r="I23" s="560"/>
      <c r="J23" s="561"/>
      <c r="K23" s="543"/>
      <c r="L23" s="543"/>
      <c r="M23" s="543"/>
      <c r="R23" s="444"/>
      <c r="S23" s="434"/>
      <c r="T23" s="434"/>
      <c r="U23" s="434"/>
      <c r="V23" s="434"/>
      <c r="W23" s="434"/>
      <c r="X23" s="434"/>
      <c r="Y23" s="434"/>
      <c r="Z23" s="434"/>
      <c r="AA23" s="434"/>
      <c r="AB23" s="434"/>
      <c r="AC23" s="434"/>
    </row>
    <row r="24" spans="2:29" s="230" customFormat="1" ht="9.75" customHeight="1">
      <c r="B24" s="546"/>
      <c r="C24" s="544"/>
      <c r="D24" s="544"/>
      <c r="E24" s="544"/>
      <c r="F24" s="544"/>
      <c r="G24" s="544"/>
      <c r="H24" s="544"/>
      <c r="I24" s="544"/>
      <c r="J24" s="545"/>
      <c r="K24" s="544"/>
      <c r="L24" s="544"/>
      <c r="M24" s="544"/>
      <c r="R24" s="434"/>
      <c r="S24" s="434"/>
      <c r="T24" s="434"/>
      <c r="U24" s="434"/>
      <c r="V24" s="434"/>
      <c r="W24" s="434"/>
      <c r="X24" s="434"/>
      <c r="Y24" s="434"/>
      <c r="Z24" s="434"/>
      <c r="AA24" s="434"/>
      <c r="AB24" s="434"/>
      <c r="AC24" s="434"/>
    </row>
    <row r="25" spans="2:29" s="230" customFormat="1" ht="25.5" customHeight="1">
      <c r="B25" s="546"/>
      <c r="C25" s="544"/>
      <c r="D25" s="544"/>
      <c r="E25" s="544"/>
      <c r="F25" s="544"/>
      <c r="G25" s="544"/>
      <c r="H25" s="544"/>
      <c r="I25" s="544"/>
      <c r="J25" s="545"/>
      <c r="K25" s="544"/>
      <c r="L25" s="544"/>
      <c r="M25" s="544"/>
      <c r="R25" s="434"/>
      <c r="S25" s="436"/>
      <c r="T25" s="434"/>
      <c r="U25" s="434"/>
      <c r="V25" s="434"/>
      <c r="W25" s="434"/>
      <c r="X25" s="434"/>
      <c r="Y25" s="434"/>
      <c r="Z25" s="434"/>
      <c r="AA25" s="434"/>
      <c r="AB25" s="434"/>
      <c r="AC25" s="434"/>
    </row>
    <row r="26" spans="2:29" s="230" customFormat="1" ht="15.75" customHeight="1">
      <c r="B26" s="546"/>
      <c r="C26" s="544"/>
      <c r="D26" s="544"/>
      <c r="E26" s="544"/>
      <c r="F26" s="544"/>
      <c r="G26" s="544"/>
      <c r="H26" s="544"/>
      <c r="I26" s="544"/>
      <c r="J26" s="545"/>
      <c r="K26" s="544"/>
      <c r="L26" s="544"/>
      <c r="M26" s="544"/>
      <c r="R26" s="434"/>
      <c r="S26" s="434"/>
      <c r="T26" s="434"/>
      <c r="U26" s="434"/>
      <c r="V26" s="434"/>
      <c r="W26" s="434"/>
      <c r="X26" s="434"/>
      <c r="Y26" s="434"/>
      <c r="Z26" s="434"/>
      <c r="AA26" s="434"/>
      <c r="AB26" s="434"/>
      <c r="AC26" s="434"/>
    </row>
    <row r="27" spans="2:29" s="230" customFormat="1" ht="19.5" customHeight="1">
      <c r="B27" s="559" t="s">
        <v>1139</v>
      </c>
      <c r="C27" s="560"/>
      <c r="D27" s="560"/>
      <c r="E27" s="560"/>
      <c r="F27" s="560"/>
      <c r="G27" s="560"/>
      <c r="H27" s="560"/>
      <c r="I27" s="560"/>
      <c r="J27" s="561"/>
      <c r="K27" s="543"/>
      <c r="L27" s="543"/>
      <c r="M27" s="543"/>
      <c r="R27" s="434"/>
      <c r="S27" s="434"/>
      <c r="T27" s="434"/>
      <c r="U27" s="434"/>
      <c r="V27" s="434"/>
      <c r="W27" s="434"/>
      <c r="X27" s="434"/>
      <c r="Y27" s="434"/>
      <c r="Z27" s="434"/>
      <c r="AA27" s="434"/>
      <c r="AB27" s="434"/>
      <c r="AC27" s="434"/>
    </row>
    <row r="28" spans="2:29" s="230" customFormat="1" ht="15.75" customHeight="1">
      <c r="B28" s="546"/>
      <c r="C28" s="544"/>
      <c r="D28" s="544"/>
      <c r="E28" s="544"/>
      <c r="F28" s="544"/>
      <c r="G28" s="544"/>
      <c r="H28" s="544"/>
      <c r="I28" s="544"/>
      <c r="J28" s="545"/>
      <c r="K28" s="544"/>
      <c r="L28" s="544"/>
      <c r="M28" s="544"/>
      <c r="R28" s="434"/>
      <c r="S28" s="434"/>
      <c r="T28" s="434"/>
      <c r="U28" s="434"/>
      <c r="V28" s="434"/>
      <c r="W28" s="434"/>
      <c r="X28" s="434"/>
      <c r="Y28" s="434"/>
      <c r="Z28" s="434"/>
      <c r="AA28" s="434"/>
      <c r="AB28" s="434"/>
      <c r="AC28" s="434"/>
    </row>
    <row r="29" spans="2:29" s="230" customFormat="1" ht="30" customHeight="1">
      <c r="B29" s="578" t="s">
        <v>1125</v>
      </c>
      <c r="C29" s="579"/>
      <c r="D29" s="579"/>
      <c r="E29" s="579"/>
      <c r="F29" s="579"/>
      <c r="G29" s="579"/>
      <c r="H29" s="579"/>
      <c r="I29" s="579"/>
      <c r="J29" s="580"/>
      <c r="K29" s="548"/>
      <c r="L29" s="548"/>
      <c r="M29" s="548"/>
      <c r="R29" s="434"/>
      <c r="S29" s="434"/>
      <c r="T29" s="434"/>
      <c r="U29" s="434"/>
      <c r="V29" s="434"/>
      <c r="W29" s="434"/>
      <c r="X29" s="434"/>
      <c r="Y29" s="434"/>
      <c r="Z29" s="434"/>
      <c r="AA29" s="434"/>
      <c r="AB29" s="434"/>
      <c r="AC29" s="434"/>
    </row>
    <row r="30" spans="2:29" s="230" customFormat="1" ht="9.75" customHeight="1">
      <c r="B30" s="546"/>
      <c r="C30" s="544"/>
      <c r="D30" s="544"/>
      <c r="E30" s="544"/>
      <c r="F30" s="544"/>
      <c r="G30" s="544"/>
      <c r="H30" s="544"/>
      <c r="I30" s="544"/>
      <c r="J30" s="545"/>
      <c r="K30" s="544"/>
      <c r="L30" s="544"/>
      <c r="M30" s="544"/>
      <c r="R30" s="434"/>
      <c r="S30" s="434"/>
      <c r="T30" s="434"/>
      <c r="U30" s="434"/>
      <c r="V30" s="434"/>
      <c r="W30" s="434"/>
      <c r="X30" s="434"/>
      <c r="Y30" s="434"/>
      <c r="Z30" s="434"/>
      <c r="AA30" s="434"/>
      <c r="AB30" s="434"/>
      <c r="AC30" s="434"/>
    </row>
    <row r="31" spans="2:29" s="230" customFormat="1" ht="24.75" customHeight="1">
      <c r="B31" s="556" t="s">
        <v>1055</v>
      </c>
      <c r="C31" s="557"/>
      <c r="D31" s="557"/>
      <c r="E31" s="557"/>
      <c r="F31" s="557"/>
      <c r="G31" s="557"/>
      <c r="H31" s="557"/>
      <c r="I31" s="557"/>
      <c r="J31" s="558"/>
      <c r="K31" s="549"/>
      <c r="L31" s="549"/>
      <c r="M31" s="549"/>
      <c r="R31" s="434"/>
      <c r="S31" s="434"/>
      <c r="T31" s="434"/>
      <c r="U31" s="434"/>
      <c r="V31" s="434"/>
      <c r="W31" s="434"/>
      <c r="X31" s="434"/>
      <c r="Y31" s="434"/>
      <c r="Z31" s="434"/>
      <c r="AA31" s="434"/>
      <c r="AB31" s="434"/>
      <c r="AC31" s="434"/>
    </row>
    <row r="32" spans="2:29" s="230" customFormat="1" ht="9.75" customHeight="1">
      <c r="B32" s="546"/>
      <c r="C32" s="544"/>
      <c r="D32" s="544"/>
      <c r="E32" s="544"/>
      <c r="F32" s="544"/>
      <c r="G32" s="544"/>
      <c r="H32" s="544"/>
      <c r="I32" s="544"/>
      <c r="J32" s="545"/>
      <c r="K32" s="544"/>
      <c r="L32" s="544"/>
      <c r="M32" s="544"/>
      <c r="R32" s="434"/>
      <c r="S32" s="434"/>
      <c r="T32" s="434"/>
      <c r="U32" s="434"/>
      <c r="V32" s="434"/>
      <c r="W32" s="434"/>
      <c r="X32" s="434"/>
      <c r="Y32" s="434"/>
      <c r="Z32" s="434"/>
      <c r="AA32" s="434"/>
      <c r="AB32" s="434"/>
      <c r="AC32" s="434"/>
    </row>
    <row r="33" spans="2:29" s="230" customFormat="1" ht="12.75">
      <c r="B33" s="546"/>
      <c r="C33" s="544"/>
      <c r="D33" s="544"/>
      <c r="E33" s="544"/>
      <c r="F33" s="544"/>
      <c r="G33" s="544"/>
      <c r="H33" s="544"/>
      <c r="I33" s="544"/>
      <c r="J33" s="545"/>
      <c r="K33" s="544"/>
      <c r="L33" s="544"/>
      <c r="M33" s="544"/>
      <c r="R33" s="434"/>
      <c r="S33" s="434"/>
      <c r="T33" s="434"/>
      <c r="U33" s="434"/>
      <c r="V33" s="434"/>
      <c r="W33" s="434"/>
      <c r="X33" s="434"/>
      <c r="Y33" s="434"/>
      <c r="Z33" s="434"/>
      <c r="AA33" s="434"/>
      <c r="AB33" s="434"/>
      <c r="AC33" s="434"/>
    </row>
    <row r="34" spans="2:29" s="230" customFormat="1" ht="12.75">
      <c r="B34" s="546"/>
      <c r="C34" s="544"/>
      <c r="D34" s="544"/>
      <c r="E34" s="544"/>
      <c r="F34" s="544"/>
      <c r="G34" s="544"/>
      <c r="H34" s="544"/>
      <c r="I34" s="544"/>
      <c r="J34" s="545"/>
      <c r="K34" s="544"/>
      <c r="L34" s="544"/>
      <c r="M34" s="544"/>
      <c r="R34" s="434"/>
      <c r="S34" s="434"/>
      <c r="T34" s="434"/>
      <c r="U34" s="434"/>
      <c r="V34" s="434"/>
      <c r="W34" s="434"/>
      <c r="X34" s="434"/>
      <c r="Y34" s="434"/>
      <c r="Z34" s="434"/>
      <c r="AA34" s="434"/>
      <c r="AB34" s="434"/>
      <c r="AC34" s="434"/>
    </row>
    <row r="35" spans="2:29" s="230" customFormat="1" ht="12.75">
      <c r="B35" s="546"/>
      <c r="C35" s="544"/>
      <c r="D35" s="544"/>
      <c r="E35" s="544"/>
      <c r="F35" s="544"/>
      <c r="G35" s="544"/>
      <c r="H35" s="544"/>
      <c r="I35" s="544"/>
      <c r="J35" s="545"/>
      <c r="K35" s="544"/>
      <c r="L35" s="544"/>
      <c r="M35" s="544"/>
      <c r="R35" s="434"/>
      <c r="S35" s="434"/>
      <c r="T35" s="434"/>
      <c r="U35" s="434"/>
      <c r="V35" s="434"/>
      <c r="W35" s="434"/>
      <c r="X35" s="434"/>
      <c r="Y35" s="434"/>
      <c r="Z35" s="434"/>
      <c r="AA35" s="434"/>
      <c r="AB35" s="434"/>
      <c r="AC35" s="434"/>
    </row>
    <row r="36" spans="2:29" s="230" customFormat="1" ht="12.75">
      <c r="B36" s="546"/>
      <c r="C36" s="544"/>
      <c r="D36" s="544"/>
      <c r="E36" s="544"/>
      <c r="F36" s="544"/>
      <c r="G36" s="544"/>
      <c r="H36" s="544"/>
      <c r="I36" s="544"/>
      <c r="J36" s="545"/>
      <c r="K36" s="544"/>
      <c r="L36" s="544"/>
      <c r="M36" s="544"/>
      <c r="R36" s="434"/>
      <c r="S36" s="434"/>
      <c r="T36" s="434"/>
      <c r="U36" s="434"/>
      <c r="V36" s="434"/>
      <c r="W36" s="434"/>
      <c r="X36" s="434"/>
      <c r="Y36" s="434"/>
      <c r="Z36" s="434"/>
      <c r="AA36" s="434"/>
      <c r="AB36" s="434"/>
      <c r="AC36" s="434"/>
    </row>
    <row r="37" spans="2:29" s="230" customFormat="1" ht="12.75">
      <c r="B37" s="550"/>
      <c r="C37" s="547"/>
      <c r="D37" s="547"/>
      <c r="E37" s="547"/>
      <c r="F37" s="547"/>
      <c r="G37" s="547"/>
      <c r="H37" s="547"/>
      <c r="I37" s="547"/>
      <c r="J37" s="551"/>
      <c r="K37" s="547"/>
      <c r="L37" s="547"/>
      <c r="M37" s="547"/>
      <c r="R37" s="434"/>
      <c r="S37" s="434"/>
      <c r="T37" s="434"/>
      <c r="U37" s="434"/>
      <c r="V37" s="434"/>
      <c r="W37" s="434"/>
      <c r="X37" s="434"/>
      <c r="Y37" s="434"/>
      <c r="Z37" s="434"/>
      <c r="AA37" s="434"/>
      <c r="AB37" s="434"/>
      <c r="AC37" s="434"/>
    </row>
    <row r="38" spans="2:29" s="230" customFormat="1" ht="12.75">
      <c r="B38" s="552"/>
      <c r="C38" s="553"/>
      <c r="D38" s="553"/>
      <c r="E38" s="553"/>
      <c r="F38" s="553"/>
      <c r="G38" s="553"/>
      <c r="H38" s="553"/>
      <c r="I38" s="553"/>
      <c r="J38" s="554"/>
      <c r="K38" s="553"/>
      <c r="L38" s="553"/>
      <c r="M38" s="553"/>
      <c r="R38" s="434"/>
      <c r="S38" s="434"/>
      <c r="T38" s="434"/>
      <c r="U38" s="434"/>
      <c r="V38" s="434"/>
      <c r="W38" s="434"/>
      <c r="X38" s="434"/>
      <c r="Y38" s="434"/>
      <c r="Z38" s="434"/>
      <c r="AA38" s="434"/>
      <c r="AB38" s="434"/>
      <c r="AC38" s="434"/>
    </row>
    <row r="39" spans="2:29" s="230" customFormat="1" ht="12.75">
      <c r="B39" s="552"/>
      <c r="C39" s="553"/>
      <c r="D39" s="553"/>
      <c r="E39" s="553"/>
      <c r="F39" s="553"/>
      <c r="G39" s="553"/>
      <c r="H39" s="553"/>
      <c r="I39" s="553"/>
      <c r="J39" s="554"/>
      <c r="K39" s="553"/>
      <c r="L39" s="553"/>
      <c r="M39" s="553"/>
      <c r="R39" s="434"/>
      <c r="S39" s="434"/>
      <c r="T39" s="434"/>
      <c r="U39" s="434"/>
      <c r="V39" s="434"/>
      <c r="W39" s="434"/>
      <c r="X39" s="434"/>
      <c r="Y39" s="434"/>
      <c r="Z39" s="434"/>
      <c r="AA39" s="434"/>
      <c r="AB39" s="434"/>
      <c r="AC39" s="434"/>
    </row>
    <row r="40" spans="2:29" s="230" customFormat="1" ht="10.5" customHeight="1">
      <c r="B40" s="552"/>
      <c r="C40" s="553"/>
      <c r="D40" s="553"/>
      <c r="E40" s="553"/>
      <c r="F40" s="553"/>
      <c r="G40" s="553"/>
      <c r="H40" s="553"/>
      <c r="I40" s="553"/>
      <c r="J40" s="554"/>
      <c r="K40" s="553"/>
      <c r="L40" s="553"/>
      <c r="M40" s="553"/>
      <c r="R40" s="434"/>
      <c r="S40" s="434"/>
      <c r="T40" s="434"/>
      <c r="U40" s="434"/>
      <c r="V40" s="434"/>
      <c r="W40" s="434"/>
      <c r="X40" s="434"/>
      <c r="Y40" s="434"/>
      <c r="Z40" s="434"/>
      <c r="AA40" s="434"/>
      <c r="AB40" s="434"/>
      <c r="AC40" s="434"/>
    </row>
    <row r="41" spans="2:29" s="230" customFormat="1" ht="15.75" customHeight="1">
      <c r="B41" s="546"/>
      <c r="C41" s="544"/>
      <c r="D41" s="544"/>
      <c r="E41" s="544"/>
      <c r="F41" s="544"/>
      <c r="G41" s="544"/>
      <c r="H41" s="544"/>
      <c r="I41" s="544"/>
      <c r="J41" s="545"/>
      <c r="K41" s="544"/>
      <c r="L41" s="544"/>
      <c r="M41" s="544"/>
      <c r="R41" s="434"/>
      <c r="S41" s="434"/>
      <c r="T41" s="434"/>
      <c r="U41" s="434"/>
      <c r="V41" s="434"/>
      <c r="W41" s="434"/>
      <c r="X41" s="434"/>
      <c r="Y41" s="434"/>
      <c r="Z41" s="434"/>
      <c r="AA41" s="434"/>
      <c r="AB41" s="434"/>
      <c r="AC41" s="434"/>
    </row>
    <row r="42" spans="2:29" s="230" customFormat="1" ht="19.5" customHeight="1">
      <c r="B42" s="559" t="s">
        <v>1126</v>
      </c>
      <c r="C42" s="560"/>
      <c r="D42" s="560"/>
      <c r="E42" s="560"/>
      <c r="F42" s="560"/>
      <c r="G42" s="560"/>
      <c r="H42" s="560"/>
      <c r="I42" s="560"/>
      <c r="J42" s="561"/>
      <c r="K42" s="543"/>
      <c r="L42" s="543"/>
      <c r="M42" s="543"/>
      <c r="R42" s="434"/>
      <c r="S42" s="434"/>
      <c r="T42" s="434"/>
      <c r="U42" s="434"/>
      <c r="V42" s="434"/>
      <c r="W42" s="434"/>
      <c r="X42" s="434"/>
      <c r="Y42" s="434"/>
      <c r="Z42" s="434"/>
      <c r="AA42" s="434"/>
      <c r="AB42" s="434"/>
      <c r="AC42" s="434"/>
    </row>
    <row r="43" spans="2:29" s="230" customFormat="1" ht="30" customHeight="1" thickBot="1">
      <c r="B43" s="575" t="s">
        <v>1054</v>
      </c>
      <c r="C43" s="576"/>
      <c r="D43" s="576"/>
      <c r="E43" s="576"/>
      <c r="F43" s="576"/>
      <c r="G43" s="576"/>
      <c r="H43" s="576"/>
      <c r="I43" s="576"/>
      <c r="J43" s="577"/>
      <c r="K43" s="547"/>
      <c r="L43" s="547"/>
      <c r="M43" s="547"/>
      <c r="R43" s="434"/>
      <c r="S43" s="434"/>
      <c r="T43" s="434"/>
      <c r="U43" s="434"/>
      <c r="V43" s="434"/>
      <c r="W43" s="434"/>
      <c r="X43" s="434"/>
      <c r="Y43" s="434"/>
      <c r="Z43" s="434"/>
      <c r="AA43" s="434"/>
      <c r="AB43" s="434"/>
      <c r="AC43" s="434"/>
    </row>
    <row r="44" spans="2:29" ht="15">
      <c r="B44" s="442"/>
      <c r="C44" s="442"/>
      <c r="D44" s="442"/>
      <c r="E44" s="442"/>
      <c r="F44" s="442"/>
      <c r="G44" s="442"/>
      <c r="H44" s="442"/>
      <c r="I44" s="442"/>
      <c r="J44" s="442"/>
      <c r="K44" s="442"/>
      <c r="L44" s="442"/>
      <c r="M44" s="442"/>
      <c r="R44" s="434"/>
      <c r="S44" s="434"/>
      <c r="T44" s="434"/>
      <c r="U44" s="434"/>
      <c r="V44" s="434"/>
      <c r="W44" s="434"/>
      <c r="X44" s="434"/>
      <c r="Y44" s="434"/>
      <c r="Z44" s="434"/>
      <c r="AA44" s="434"/>
      <c r="AB44" s="434"/>
      <c r="AC44" s="434"/>
    </row>
    <row r="45" spans="18:29" ht="37.5" customHeight="1">
      <c r="R45" s="434"/>
      <c r="S45" s="434"/>
      <c r="T45" s="434"/>
      <c r="U45" s="434"/>
      <c r="V45" s="434"/>
      <c r="W45" s="434"/>
      <c r="X45" s="434"/>
      <c r="Y45" s="434"/>
      <c r="Z45" s="434"/>
      <c r="AA45" s="434"/>
      <c r="AB45" s="434"/>
      <c r="AC45" s="434"/>
    </row>
    <row r="46" spans="2:29" ht="15.75" customHeight="1">
      <c r="B46" s="441" t="s">
        <v>1053</v>
      </c>
      <c r="C46" s="440"/>
      <c r="D46" s="440"/>
      <c r="E46" s="440"/>
      <c r="F46" s="440"/>
      <c r="G46" s="440"/>
      <c r="H46" s="440"/>
      <c r="I46" s="440"/>
      <c r="J46" s="439">
        <v>45364</v>
      </c>
      <c r="M46" s="439"/>
      <c r="R46" s="434"/>
      <c r="S46" s="436"/>
      <c r="T46" s="434"/>
      <c r="U46" s="434"/>
      <c r="V46" s="434"/>
      <c r="W46" s="434"/>
      <c r="X46" s="434"/>
      <c r="Y46" s="434"/>
      <c r="Z46" s="434"/>
      <c r="AA46" s="434"/>
      <c r="AB46" s="434"/>
      <c r="AC46" s="434"/>
    </row>
    <row r="47" spans="2:29" ht="6" customHeight="1">
      <c r="B47" s="438"/>
      <c r="C47" s="438"/>
      <c r="D47" s="438"/>
      <c r="E47" s="438"/>
      <c r="F47" s="438"/>
      <c r="G47" s="438"/>
      <c r="H47" s="438"/>
      <c r="I47" s="438"/>
      <c r="J47" s="438"/>
      <c r="K47" s="437"/>
      <c r="L47" s="437"/>
      <c r="M47" s="437"/>
      <c r="R47" s="434"/>
      <c r="S47" s="436"/>
      <c r="T47" s="434"/>
      <c r="U47" s="434"/>
      <c r="V47" s="434"/>
      <c r="W47" s="434"/>
      <c r="X47" s="434"/>
      <c r="Y47" s="434"/>
      <c r="Z47" s="434"/>
      <c r="AA47" s="434"/>
      <c r="AB47" s="434"/>
      <c r="AC47" s="434"/>
    </row>
    <row r="48" spans="18:29" ht="15">
      <c r="R48" s="434"/>
      <c r="S48" s="436"/>
      <c r="T48" s="434"/>
      <c r="U48" s="434"/>
      <c r="V48" s="434"/>
      <c r="W48" s="434"/>
      <c r="X48" s="434"/>
      <c r="Y48" s="434"/>
      <c r="Z48" s="434"/>
      <c r="AA48" s="434"/>
      <c r="AB48" s="434"/>
      <c r="AC48" s="434"/>
    </row>
    <row r="49" spans="18:29" ht="15">
      <c r="R49" s="434"/>
      <c r="S49" s="434"/>
      <c r="T49" s="434"/>
      <c r="U49" s="434"/>
      <c r="V49" s="434"/>
      <c r="W49" s="434"/>
      <c r="X49" s="434"/>
      <c r="Y49" s="434"/>
      <c r="Z49" s="434"/>
      <c r="AA49" s="434"/>
      <c r="AB49" s="434"/>
      <c r="AC49" s="434"/>
    </row>
    <row r="50" spans="18:29" ht="15">
      <c r="R50" s="434"/>
      <c r="S50" s="434"/>
      <c r="T50" s="434"/>
      <c r="U50" s="434"/>
      <c r="V50" s="434"/>
      <c r="W50" s="434"/>
      <c r="X50" s="434"/>
      <c r="Y50" s="434"/>
      <c r="Z50" s="434"/>
      <c r="AA50" s="434"/>
      <c r="AB50" s="434"/>
      <c r="AC50" s="434"/>
    </row>
    <row r="51" spans="18:29" ht="15">
      <c r="R51" s="434"/>
      <c r="S51" s="434"/>
      <c r="T51" s="434"/>
      <c r="U51" s="434"/>
      <c r="V51" s="434"/>
      <c r="W51" s="434"/>
      <c r="X51" s="434"/>
      <c r="Y51" s="434"/>
      <c r="Z51" s="434"/>
      <c r="AA51" s="434"/>
      <c r="AB51" s="434"/>
      <c r="AC51" s="434"/>
    </row>
    <row r="52" spans="18:29" ht="15">
      <c r="R52" s="434"/>
      <c r="S52" s="434"/>
      <c r="T52" s="434"/>
      <c r="U52" s="434"/>
      <c r="V52" s="434"/>
      <c r="W52" s="434"/>
      <c r="X52" s="434"/>
      <c r="Y52" s="434"/>
      <c r="Z52" s="434"/>
      <c r="AA52" s="434"/>
      <c r="AB52" s="434"/>
      <c r="AC52" s="434"/>
    </row>
    <row r="53" spans="18:29" ht="15">
      <c r="R53" s="434"/>
      <c r="S53" s="434"/>
      <c r="T53" s="434"/>
      <c r="U53" s="434"/>
      <c r="V53" s="434"/>
      <c r="W53" s="434"/>
      <c r="X53" s="434"/>
      <c r="Y53" s="434"/>
      <c r="Z53" s="434"/>
      <c r="AA53" s="434"/>
      <c r="AB53" s="434"/>
      <c r="AC53" s="434"/>
    </row>
    <row r="54" spans="18:29" ht="15">
      <c r="R54" s="434"/>
      <c r="S54" s="434"/>
      <c r="T54" s="434"/>
      <c r="U54" s="434"/>
      <c r="V54" s="434"/>
      <c r="W54" s="434"/>
      <c r="X54" s="434"/>
      <c r="Y54" s="434"/>
      <c r="Z54" s="434"/>
      <c r="AA54" s="434"/>
      <c r="AB54" s="434"/>
      <c r="AC54" s="434"/>
    </row>
    <row r="55" spans="18:29" ht="15">
      <c r="R55" s="434"/>
      <c r="S55" s="434"/>
      <c r="T55" s="434"/>
      <c r="U55" s="434"/>
      <c r="V55" s="434"/>
      <c r="W55" s="434"/>
      <c r="X55" s="434"/>
      <c r="Y55" s="434"/>
      <c r="Z55" s="434"/>
      <c r="AA55" s="434"/>
      <c r="AB55" s="434"/>
      <c r="AC55" s="434"/>
    </row>
    <row r="56" spans="18:29" ht="15">
      <c r="R56" s="434"/>
      <c r="S56" s="434"/>
      <c r="T56" s="434"/>
      <c r="U56" s="434"/>
      <c r="V56" s="434"/>
      <c r="W56" s="434"/>
      <c r="X56" s="434"/>
      <c r="Y56" s="434"/>
      <c r="Z56" s="434"/>
      <c r="AA56" s="434"/>
      <c r="AB56" s="434"/>
      <c r="AC56" s="434"/>
    </row>
    <row r="57" spans="18:29" ht="15">
      <c r="R57" s="434"/>
      <c r="S57" s="434"/>
      <c r="T57" s="434"/>
      <c r="U57" s="434"/>
      <c r="V57" s="434"/>
      <c r="W57" s="434"/>
      <c r="X57" s="434"/>
      <c r="Y57" s="434"/>
      <c r="Z57" s="434"/>
      <c r="AA57" s="434"/>
      <c r="AB57" s="434"/>
      <c r="AC57" s="434"/>
    </row>
    <row r="58" spans="18:29" ht="15">
      <c r="R58" s="434"/>
      <c r="S58" s="434"/>
      <c r="T58" s="434"/>
      <c r="U58" s="434"/>
      <c r="V58" s="434"/>
      <c r="W58" s="434"/>
      <c r="X58" s="434"/>
      <c r="Y58" s="434"/>
      <c r="Z58" s="434"/>
      <c r="AA58" s="434"/>
      <c r="AB58" s="434"/>
      <c r="AC58" s="434"/>
    </row>
    <row r="59" spans="18:29" ht="15">
      <c r="R59" s="434"/>
      <c r="S59" s="434"/>
      <c r="T59" s="434"/>
      <c r="U59" s="434"/>
      <c r="V59" s="434"/>
      <c r="W59" s="434"/>
      <c r="X59" s="434"/>
      <c r="Y59" s="434"/>
      <c r="Z59" s="434"/>
      <c r="AA59" s="434"/>
      <c r="AB59" s="434"/>
      <c r="AC59" s="434"/>
    </row>
    <row r="60" spans="18:29" ht="15">
      <c r="R60" s="434"/>
      <c r="S60" s="434"/>
      <c r="T60" s="434"/>
      <c r="U60" s="434"/>
      <c r="V60" s="434"/>
      <c r="W60" s="434"/>
      <c r="X60" s="434"/>
      <c r="Y60" s="434"/>
      <c r="Z60" s="434"/>
      <c r="AA60" s="434"/>
      <c r="AB60" s="434"/>
      <c r="AC60" s="434"/>
    </row>
    <row r="61" spans="18:29" ht="15">
      <c r="R61" s="434"/>
      <c r="S61" s="434"/>
      <c r="T61" s="434"/>
      <c r="U61" s="434"/>
      <c r="V61" s="434"/>
      <c r="W61" s="434"/>
      <c r="X61" s="434"/>
      <c r="Y61" s="434"/>
      <c r="Z61" s="434"/>
      <c r="AA61" s="434"/>
      <c r="AB61" s="434"/>
      <c r="AC61" s="434"/>
    </row>
    <row r="62" spans="18:29" ht="15">
      <c r="R62" s="434"/>
      <c r="S62" s="434"/>
      <c r="T62" s="434"/>
      <c r="U62" s="434"/>
      <c r="V62" s="434"/>
      <c r="W62" s="434"/>
      <c r="X62" s="434"/>
      <c r="Y62" s="434"/>
      <c r="Z62" s="434"/>
      <c r="AA62" s="434"/>
      <c r="AB62" s="434"/>
      <c r="AC62" s="434"/>
    </row>
    <row r="63" spans="18:29" ht="15">
      <c r="R63" s="434"/>
      <c r="S63" s="434"/>
      <c r="T63" s="434"/>
      <c r="U63" s="434"/>
      <c r="V63" s="434"/>
      <c r="W63" s="434"/>
      <c r="X63" s="434"/>
      <c r="Y63" s="434"/>
      <c r="Z63" s="434"/>
      <c r="AA63" s="434"/>
      <c r="AB63" s="434"/>
      <c r="AC63" s="434"/>
    </row>
    <row r="64" spans="18:29" ht="15">
      <c r="R64" s="434"/>
      <c r="S64" s="434"/>
      <c r="T64" s="434"/>
      <c r="U64" s="434"/>
      <c r="V64" s="434"/>
      <c r="W64" s="434"/>
      <c r="X64" s="434"/>
      <c r="Y64" s="434"/>
      <c r="Z64" s="434"/>
      <c r="AA64" s="434"/>
      <c r="AB64" s="434"/>
      <c r="AC64" s="434"/>
    </row>
    <row r="65" spans="18:29" ht="15">
      <c r="R65" s="434"/>
      <c r="S65" s="434"/>
      <c r="T65" s="434"/>
      <c r="U65" s="434"/>
      <c r="V65" s="434"/>
      <c r="W65" s="434"/>
      <c r="X65" s="434"/>
      <c r="Y65" s="434"/>
      <c r="Z65" s="434"/>
      <c r="AA65" s="434"/>
      <c r="AB65" s="434"/>
      <c r="AC65" s="434"/>
    </row>
    <row r="66" spans="18:29" ht="15">
      <c r="R66" s="434"/>
      <c r="S66" s="434"/>
      <c r="T66" s="434"/>
      <c r="U66" s="434"/>
      <c r="V66" s="434"/>
      <c r="W66" s="434"/>
      <c r="X66" s="434"/>
      <c r="Y66" s="434"/>
      <c r="Z66" s="434"/>
      <c r="AA66" s="434"/>
      <c r="AB66" s="434"/>
      <c r="AC66" s="434"/>
    </row>
    <row r="67" spans="18:29" ht="15">
      <c r="R67" s="434"/>
      <c r="S67" s="434"/>
      <c r="T67" s="434"/>
      <c r="U67" s="434"/>
      <c r="V67" s="434"/>
      <c r="W67" s="434"/>
      <c r="X67" s="434"/>
      <c r="Y67" s="434"/>
      <c r="Z67" s="434"/>
      <c r="AA67" s="434"/>
      <c r="AB67" s="434"/>
      <c r="AC67" s="434"/>
    </row>
    <row r="68" spans="18:29" ht="15">
      <c r="R68" s="434"/>
      <c r="S68" s="434"/>
      <c r="T68" s="434"/>
      <c r="U68" s="434"/>
      <c r="V68" s="434"/>
      <c r="W68" s="434"/>
      <c r="X68" s="434"/>
      <c r="Y68" s="434"/>
      <c r="Z68" s="434"/>
      <c r="AA68" s="434"/>
      <c r="AB68" s="434"/>
      <c r="AC68" s="434"/>
    </row>
    <row r="69" spans="18:29" ht="15">
      <c r="R69" s="434"/>
      <c r="S69" s="434"/>
      <c r="T69" s="434"/>
      <c r="U69" s="434"/>
      <c r="V69" s="434"/>
      <c r="W69" s="434"/>
      <c r="X69" s="434"/>
      <c r="Y69" s="434"/>
      <c r="Z69" s="434"/>
      <c r="AA69" s="434"/>
      <c r="AB69" s="434"/>
      <c r="AC69" s="434"/>
    </row>
    <row r="70" spans="18:29" ht="15">
      <c r="R70" s="434"/>
      <c r="S70" s="434"/>
      <c r="T70" s="434"/>
      <c r="U70" s="434"/>
      <c r="V70" s="434"/>
      <c r="W70" s="434"/>
      <c r="X70" s="434"/>
      <c r="Y70" s="434"/>
      <c r="Z70" s="434"/>
      <c r="AA70" s="434"/>
      <c r="AB70" s="434"/>
      <c r="AC70" s="434"/>
    </row>
    <row r="71" spans="18:29" ht="15">
      <c r="R71" s="434"/>
      <c r="S71" s="434"/>
      <c r="T71" s="434"/>
      <c r="U71" s="434"/>
      <c r="V71" s="434"/>
      <c r="W71" s="434"/>
      <c r="X71" s="434"/>
      <c r="Y71" s="434"/>
      <c r="Z71" s="434"/>
      <c r="AA71" s="434"/>
      <c r="AB71" s="434"/>
      <c r="AC71" s="434"/>
    </row>
    <row r="72" spans="18:29" ht="15">
      <c r="R72" s="434"/>
      <c r="S72" s="436"/>
      <c r="T72" s="434"/>
      <c r="U72" s="434"/>
      <c r="V72" s="434"/>
      <c r="W72" s="434"/>
      <c r="X72" s="434"/>
      <c r="Y72" s="434"/>
      <c r="Z72" s="434"/>
      <c r="AA72" s="434"/>
      <c r="AB72" s="434"/>
      <c r="AC72" s="434"/>
    </row>
    <row r="73" spans="18:29" ht="15">
      <c r="R73" s="434"/>
      <c r="S73" s="436"/>
      <c r="T73" s="434"/>
      <c r="U73" s="434"/>
      <c r="V73" s="434"/>
      <c r="W73" s="434"/>
      <c r="X73" s="434"/>
      <c r="Y73" s="434"/>
      <c r="Z73" s="434"/>
      <c r="AA73" s="434"/>
      <c r="AB73" s="434"/>
      <c r="AC73" s="434"/>
    </row>
    <row r="74" spans="18:29" ht="15">
      <c r="R74" s="434"/>
      <c r="S74" s="434"/>
      <c r="T74" s="434"/>
      <c r="U74" s="434"/>
      <c r="V74" s="434"/>
      <c r="W74" s="434"/>
      <c r="X74" s="434"/>
      <c r="Y74" s="434"/>
      <c r="Z74" s="434"/>
      <c r="AA74" s="434"/>
      <c r="AB74" s="434"/>
      <c r="AC74" s="434"/>
    </row>
    <row r="75" spans="18:29" ht="15">
      <c r="R75" s="434"/>
      <c r="S75" s="435"/>
      <c r="T75" s="435"/>
      <c r="U75" s="435"/>
      <c r="V75" s="435"/>
      <c r="W75" s="435"/>
      <c r="X75" s="435"/>
      <c r="Y75" s="435"/>
      <c r="Z75" s="435"/>
      <c r="AA75" s="435"/>
      <c r="AB75" s="434"/>
      <c r="AC75" s="434"/>
    </row>
    <row r="76" spans="18:29" ht="15">
      <c r="R76" s="434"/>
      <c r="S76" s="434"/>
      <c r="T76" s="434"/>
      <c r="U76" s="434"/>
      <c r="V76" s="434"/>
      <c r="W76" s="434"/>
      <c r="X76" s="434"/>
      <c r="Y76" s="434"/>
      <c r="Z76" s="434"/>
      <c r="AA76" s="434"/>
      <c r="AB76" s="434"/>
      <c r="AC76" s="434"/>
    </row>
    <row r="77" spans="18:29" ht="15">
      <c r="R77" s="434"/>
      <c r="S77" s="434"/>
      <c r="T77" s="434"/>
      <c r="U77" s="434"/>
      <c r="V77" s="434"/>
      <c r="W77" s="434"/>
      <c r="X77" s="434"/>
      <c r="Y77" s="434"/>
      <c r="Z77" s="434"/>
      <c r="AA77" s="434"/>
      <c r="AB77" s="434"/>
      <c r="AC77" s="434"/>
    </row>
    <row r="78" spans="18:29" ht="15">
      <c r="R78" s="434"/>
      <c r="S78" s="434"/>
      <c r="T78" s="434"/>
      <c r="U78" s="434"/>
      <c r="V78" s="434"/>
      <c r="W78" s="434"/>
      <c r="X78" s="434"/>
      <c r="Y78" s="434"/>
      <c r="Z78" s="434"/>
      <c r="AA78" s="434"/>
      <c r="AB78" s="434"/>
      <c r="AC78" s="434"/>
    </row>
    <row r="79" spans="18:29" ht="15">
      <c r="R79" s="434"/>
      <c r="S79" s="434"/>
      <c r="T79" s="434"/>
      <c r="U79" s="434"/>
      <c r="V79" s="434"/>
      <c r="W79" s="434"/>
      <c r="X79" s="434"/>
      <c r="Y79" s="434"/>
      <c r="Z79" s="434"/>
      <c r="AA79" s="434"/>
      <c r="AB79" s="434"/>
      <c r="AC79" s="434"/>
    </row>
    <row r="80" spans="18:29" ht="15">
      <c r="R80" s="434"/>
      <c r="S80" s="434"/>
      <c r="T80" s="434"/>
      <c r="U80" s="434"/>
      <c r="V80" s="434"/>
      <c r="W80" s="434"/>
      <c r="X80" s="434"/>
      <c r="Y80" s="434"/>
      <c r="Z80" s="434"/>
      <c r="AA80" s="434"/>
      <c r="AB80" s="434"/>
      <c r="AC80" s="434"/>
    </row>
    <row r="81" spans="18:29" ht="15">
      <c r="R81" s="434"/>
      <c r="S81" s="434"/>
      <c r="T81" s="434"/>
      <c r="U81" s="434"/>
      <c r="V81" s="434"/>
      <c r="W81" s="434"/>
      <c r="X81" s="434"/>
      <c r="Y81" s="434"/>
      <c r="Z81" s="434"/>
      <c r="AA81" s="434"/>
      <c r="AB81" s="434"/>
      <c r="AC81" s="434"/>
    </row>
    <row r="82" spans="18:29" ht="15">
      <c r="R82" s="434"/>
      <c r="S82" s="434"/>
      <c r="T82" s="434"/>
      <c r="U82" s="434"/>
      <c r="V82" s="434"/>
      <c r="W82" s="434"/>
      <c r="X82" s="434"/>
      <c r="Y82" s="434"/>
      <c r="Z82" s="434"/>
      <c r="AA82" s="434"/>
      <c r="AB82" s="434"/>
      <c r="AC82" s="434"/>
    </row>
    <row r="83" spans="18:29" ht="15">
      <c r="R83" s="434"/>
      <c r="S83" s="434"/>
      <c r="T83" s="434"/>
      <c r="U83" s="434"/>
      <c r="V83" s="434"/>
      <c r="W83" s="434"/>
      <c r="X83" s="434"/>
      <c r="Y83" s="434"/>
      <c r="Z83" s="434"/>
      <c r="AA83" s="434"/>
      <c r="AB83" s="434"/>
      <c r="AC83" s="434"/>
    </row>
    <row r="84" spans="18:29" ht="15">
      <c r="R84" s="434"/>
      <c r="S84" s="434"/>
      <c r="T84" s="434"/>
      <c r="U84" s="434"/>
      <c r="V84" s="434"/>
      <c r="W84" s="434"/>
      <c r="X84" s="434"/>
      <c r="Y84" s="434"/>
      <c r="Z84" s="434"/>
      <c r="AA84" s="434"/>
      <c r="AB84" s="434"/>
      <c r="AC84" s="434"/>
    </row>
    <row r="85" spans="18:29" ht="15">
      <c r="R85" s="434"/>
      <c r="S85" s="434"/>
      <c r="T85" s="434"/>
      <c r="U85" s="434"/>
      <c r="V85" s="434"/>
      <c r="W85" s="434"/>
      <c r="X85" s="434"/>
      <c r="Y85" s="434"/>
      <c r="Z85" s="434"/>
      <c r="AA85" s="434"/>
      <c r="AB85" s="434"/>
      <c r="AC85" s="434"/>
    </row>
    <row r="86" spans="18:29" ht="15">
      <c r="R86" s="434"/>
      <c r="S86" s="434"/>
      <c r="T86" s="434"/>
      <c r="U86" s="434"/>
      <c r="V86" s="434"/>
      <c r="W86" s="434"/>
      <c r="X86" s="434"/>
      <c r="Y86" s="434"/>
      <c r="Z86" s="434"/>
      <c r="AA86" s="434"/>
      <c r="AB86" s="434"/>
      <c r="AC86" s="434"/>
    </row>
    <row r="87" spans="18:29" ht="15">
      <c r="R87" s="434"/>
      <c r="S87" s="434"/>
      <c r="T87" s="434"/>
      <c r="U87" s="434"/>
      <c r="V87" s="434"/>
      <c r="W87" s="434"/>
      <c r="X87" s="434"/>
      <c r="Y87" s="434"/>
      <c r="Z87" s="434"/>
      <c r="AA87" s="434"/>
      <c r="AB87" s="434"/>
      <c r="AC87" s="434"/>
    </row>
    <row r="88" spans="18:29" ht="15">
      <c r="R88" s="434"/>
      <c r="S88" s="434"/>
      <c r="T88" s="434"/>
      <c r="U88" s="434"/>
      <c r="V88" s="434"/>
      <c r="W88" s="434"/>
      <c r="X88" s="434"/>
      <c r="Y88" s="434"/>
      <c r="Z88" s="434"/>
      <c r="AA88" s="434"/>
      <c r="AB88" s="434"/>
      <c r="AC88" s="434"/>
    </row>
    <row r="89" spans="18:29" ht="15">
      <c r="R89" s="434"/>
      <c r="S89" s="434"/>
      <c r="T89" s="434"/>
      <c r="U89" s="434"/>
      <c r="V89" s="434"/>
      <c r="W89" s="434"/>
      <c r="X89" s="434"/>
      <c r="Y89" s="434"/>
      <c r="Z89" s="434"/>
      <c r="AA89" s="434"/>
      <c r="AB89" s="434"/>
      <c r="AC89" s="434"/>
    </row>
    <row r="90" spans="18:29" ht="15">
      <c r="R90" s="434"/>
      <c r="S90" s="434"/>
      <c r="T90" s="434"/>
      <c r="U90" s="434"/>
      <c r="V90" s="434"/>
      <c r="W90" s="434"/>
      <c r="X90" s="434"/>
      <c r="Y90" s="434"/>
      <c r="Z90" s="434"/>
      <c r="AA90" s="434"/>
      <c r="AB90" s="434"/>
      <c r="AC90" s="434"/>
    </row>
    <row r="91" spans="18:29" ht="15">
      <c r="R91" s="434"/>
      <c r="S91" s="434"/>
      <c r="T91" s="434"/>
      <c r="U91" s="434"/>
      <c r="V91" s="434"/>
      <c r="W91" s="434"/>
      <c r="X91" s="434"/>
      <c r="Y91" s="434"/>
      <c r="Z91" s="434"/>
      <c r="AA91" s="434"/>
      <c r="AB91" s="434"/>
      <c r="AC91" s="434"/>
    </row>
    <row r="92" spans="18:29" ht="15">
      <c r="R92" s="434"/>
      <c r="S92" s="434"/>
      <c r="T92" s="434"/>
      <c r="U92" s="434"/>
      <c r="V92" s="434"/>
      <c r="W92" s="434"/>
      <c r="X92" s="434"/>
      <c r="Y92" s="434"/>
      <c r="Z92" s="434"/>
      <c r="AA92" s="434"/>
      <c r="AB92" s="434"/>
      <c r="AC92" s="434"/>
    </row>
    <row r="93" spans="18:29" ht="15">
      <c r="R93" s="434"/>
      <c r="S93" s="434"/>
      <c r="T93" s="434"/>
      <c r="U93" s="434"/>
      <c r="V93" s="434"/>
      <c r="W93" s="434"/>
      <c r="X93" s="434"/>
      <c r="Y93" s="434"/>
      <c r="Z93" s="434"/>
      <c r="AA93" s="434"/>
      <c r="AB93" s="434"/>
      <c r="AC93" s="434"/>
    </row>
    <row r="94" spans="18:29" ht="15">
      <c r="R94" s="434"/>
      <c r="S94" s="434"/>
      <c r="T94" s="434"/>
      <c r="U94" s="434"/>
      <c r="V94" s="434"/>
      <c r="W94" s="434"/>
      <c r="X94" s="434"/>
      <c r="Y94" s="434"/>
      <c r="Z94" s="434"/>
      <c r="AA94" s="434"/>
      <c r="AB94" s="434"/>
      <c r="AC94" s="434"/>
    </row>
    <row r="95" spans="18:29" ht="15">
      <c r="R95" s="434"/>
      <c r="S95" s="434"/>
      <c r="T95" s="434"/>
      <c r="U95" s="434"/>
      <c r="V95" s="434"/>
      <c r="W95" s="434"/>
      <c r="X95" s="434"/>
      <c r="Y95" s="434"/>
      <c r="Z95" s="434"/>
      <c r="AA95" s="434"/>
      <c r="AB95" s="434"/>
      <c r="AC95" s="434"/>
    </row>
    <row r="96" spans="18:29" ht="15">
      <c r="R96" s="434"/>
      <c r="S96" s="434"/>
      <c r="T96" s="434"/>
      <c r="U96" s="434"/>
      <c r="V96" s="434"/>
      <c r="W96" s="434"/>
      <c r="X96" s="434"/>
      <c r="Y96" s="434"/>
      <c r="Z96" s="434"/>
      <c r="AA96" s="434"/>
      <c r="AB96" s="434"/>
      <c r="AC96" s="434"/>
    </row>
    <row r="97" spans="18:29" ht="15">
      <c r="R97" s="434"/>
      <c r="S97" s="434"/>
      <c r="T97" s="434"/>
      <c r="U97" s="434"/>
      <c r="V97" s="434"/>
      <c r="W97" s="434"/>
      <c r="X97" s="434"/>
      <c r="Y97" s="434"/>
      <c r="Z97" s="434"/>
      <c r="AA97" s="434"/>
      <c r="AB97" s="434"/>
      <c r="AC97" s="434"/>
    </row>
    <row r="98" spans="18:29" ht="15">
      <c r="R98" s="434"/>
      <c r="S98" s="434"/>
      <c r="T98" s="434"/>
      <c r="U98" s="434"/>
      <c r="V98" s="434"/>
      <c r="W98" s="434"/>
      <c r="X98" s="434"/>
      <c r="Y98" s="434"/>
      <c r="Z98" s="434"/>
      <c r="AA98" s="434"/>
      <c r="AB98" s="434"/>
      <c r="AC98" s="434"/>
    </row>
    <row r="99" spans="18:29" ht="15">
      <c r="R99" s="434"/>
      <c r="S99" s="434"/>
      <c r="T99" s="434"/>
      <c r="U99" s="434"/>
      <c r="V99" s="434"/>
      <c r="W99" s="434"/>
      <c r="X99" s="434"/>
      <c r="Y99" s="434"/>
      <c r="Z99" s="434"/>
      <c r="AA99" s="434"/>
      <c r="AB99" s="434"/>
      <c r="AC99" s="434"/>
    </row>
    <row r="100" spans="18:29" ht="15">
      <c r="R100" s="434"/>
      <c r="S100" s="434"/>
      <c r="T100" s="434"/>
      <c r="U100" s="434"/>
      <c r="V100" s="434"/>
      <c r="W100" s="434"/>
      <c r="X100" s="434"/>
      <c r="Y100" s="434"/>
      <c r="Z100" s="434"/>
      <c r="AA100" s="434"/>
      <c r="AB100" s="434"/>
      <c r="AC100" s="434"/>
    </row>
    <row r="101" spans="18:29" ht="15">
      <c r="R101" s="434"/>
      <c r="S101" s="434"/>
      <c r="T101" s="434"/>
      <c r="U101" s="434"/>
      <c r="V101" s="434"/>
      <c r="W101" s="434"/>
      <c r="X101" s="434"/>
      <c r="Y101" s="434"/>
      <c r="Z101" s="434"/>
      <c r="AA101" s="434"/>
      <c r="AB101" s="434"/>
      <c r="AC101" s="434"/>
    </row>
    <row r="102" spans="18:29" ht="15">
      <c r="R102" s="434"/>
      <c r="S102" s="434"/>
      <c r="T102" s="434"/>
      <c r="U102" s="434"/>
      <c r="V102" s="434"/>
      <c r="W102" s="434"/>
      <c r="X102" s="434"/>
      <c r="Y102" s="434"/>
      <c r="Z102" s="434"/>
      <c r="AA102" s="434"/>
      <c r="AB102" s="434"/>
      <c r="AC102" s="434"/>
    </row>
  </sheetData>
  <sheetProtection password="E71A" sheet="1" objects="1"/>
  <mergeCells count="21">
    <mergeCell ref="B31:J31"/>
    <mergeCell ref="B42:J42"/>
    <mergeCell ref="B43:J43"/>
    <mergeCell ref="B18:J18"/>
    <mergeCell ref="B19:J19"/>
    <mergeCell ref="B22:J22"/>
    <mergeCell ref="B23:J23"/>
    <mergeCell ref="B27:J27"/>
    <mergeCell ref="B29:J29"/>
    <mergeCell ref="B11:J11"/>
    <mergeCell ref="B12:J12"/>
    <mergeCell ref="B14:J14"/>
    <mergeCell ref="B15:J15"/>
    <mergeCell ref="B16:J16"/>
    <mergeCell ref="B17:J17"/>
    <mergeCell ref="B1:J1"/>
    <mergeCell ref="B5:J5"/>
    <mergeCell ref="B7:J7"/>
    <mergeCell ref="B8:J8"/>
    <mergeCell ref="B9:J9"/>
    <mergeCell ref="B10:J10"/>
  </mergeCells>
  <printOptions/>
  <pageMargins left="0.3937007874015748" right="0.3937007874015748" top="0.3937007874015748" bottom="0.5905511811023623" header="0.3937007874015748" footer="0.3937007874015748"/>
  <pageSetup fitToHeight="0" fitToWidth="1" horizontalDpi="600" verticalDpi="600" orientation="portrait" paperSize="5" scale="95" r:id="rId2"/>
  <headerFooter>
    <oddFooter>&amp;L&amp;"Arial Narrow,Gras"&amp;8Ministère de l’Environnement, de la Lutte contre les changements climatiques, de la Faune et des Parcs&amp;R&amp;"Arial Narrow,Gras"&amp;8 2024-03-13</oddFooter>
  </headerFooter>
  <drawing r:id="rId1"/>
</worksheet>
</file>

<file path=xl/worksheets/sheet2.xml><?xml version="1.0" encoding="utf-8"?>
<worksheet xmlns="http://schemas.openxmlformats.org/spreadsheetml/2006/main" xmlns:r="http://schemas.openxmlformats.org/officeDocument/2006/relationships">
  <sheetPr codeName="Feuil8">
    <tabColor rgb="FF1C829A"/>
    <pageSetUpPr fitToPage="1"/>
  </sheetPr>
  <dimension ref="B1:AO121"/>
  <sheetViews>
    <sheetView showGridLines="0" showRowColHeaders="0" zoomScalePageLayoutView="0" workbookViewId="0" topLeftCell="A1">
      <selection activeCell="B7" sqref="B7:O7"/>
    </sheetView>
  </sheetViews>
  <sheetFormatPr defaultColWidth="10.7109375" defaultRowHeight="15.75" customHeight="1"/>
  <cols>
    <col min="1" max="1" width="2.28125" style="440" customWidth="1"/>
    <col min="2" max="6" width="5.7109375" style="440" customWidth="1"/>
    <col min="7" max="7" width="7.57421875" style="440" customWidth="1"/>
    <col min="8" max="19" width="5.7109375" style="440" customWidth="1"/>
    <col min="20" max="20" width="2.28125" style="440" customWidth="1"/>
    <col min="21" max="16384" width="10.7109375" style="440" customWidth="1"/>
  </cols>
  <sheetData>
    <row r="1" spans="2:19" ht="60" customHeight="1">
      <c r="B1" s="555"/>
      <c r="C1" s="555"/>
      <c r="D1" s="555"/>
      <c r="E1" s="555"/>
      <c r="F1" s="555"/>
      <c r="G1" s="555"/>
      <c r="H1" s="555"/>
      <c r="I1" s="555"/>
      <c r="J1" s="555"/>
      <c r="K1" s="555"/>
      <c r="L1" s="555"/>
      <c r="M1" s="555"/>
      <c r="N1" s="555"/>
      <c r="O1" s="555"/>
      <c r="P1" s="555"/>
      <c r="Q1" s="555"/>
      <c r="R1" s="555"/>
      <c r="S1" s="555"/>
    </row>
    <row r="2" ht="18" customHeight="1"/>
    <row r="3" spans="2:19" ht="25.5" customHeight="1">
      <c r="B3" s="677" t="s">
        <v>1105</v>
      </c>
      <c r="C3" s="677"/>
      <c r="D3" s="677"/>
      <c r="E3" s="677"/>
      <c r="F3" s="677"/>
      <c r="G3" s="677"/>
      <c r="H3" s="677"/>
      <c r="I3" s="677"/>
      <c r="J3" s="677"/>
      <c r="K3" s="677"/>
      <c r="L3" s="677"/>
      <c r="M3" s="677"/>
      <c r="N3" s="677"/>
      <c r="O3" s="677"/>
      <c r="P3" s="677"/>
      <c r="Q3" s="677"/>
      <c r="R3" s="677"/>
      <c r="S3" s="677"/>
    </row>
    <row r="4" ht="9.75" customHeight="1"/>
    <row r="5" spans="2:20" ht="16.5" customHeight="1">
      <c r="B5" s="674" t="s">
        <v>1127</v>
      </c>
      <c r="C5" s="675"/>
      <c r="D5" s="675"/>
      <c r="E5" s="675"/>
      <c r="F5" s="675"/>
      <c r="G5" s="675"/>
      <c r="H5" s="675"/>
      <c r="I5" s="675"/>
      <c r="J5" s="675"/>
      <c r="K5" s="675"/>
      <c r="L5" s="675"/>
      <c r="M5" s="675"/>
      <c r="N5" s="675"/>
      <c r="O5" s="675"/>
      <c r="P5" s="675"/>
      <c r="Q5" s="675"/>
      <c r="R5" s="675"/>
      <c r="S5" s="676"/>
      <c r="T5" s="456"/>
    </row>
    <row r="6" spans="2:19" ht="15.75" customHeight="1">
      <c r="B6" s="641" t="s">
        <v>1099</v>
      </c>
      <c r="C6" s="641"/>
      <c r="D6" s="641"/>
      <c r="E6" s="641"/>
      <c r="F6" s="641"/>
      <c r="G6" s="641"/>
      <c r="H6" s="641"/>
      <c r="I6" s="641"/>
      <c r="J6" s="641"/>
      <c r="K6" s="641"/>
      <c r="L6" s="641"/>
      <c r="M6" s="641"/>
      <c r="N6" s="641"/>
      <c r="O6" s="641"/>
      <c r="P6" s="641" t="s">
        <v>1095</v>
      </c>
      <c r="Q6" s="641"/>
      <c r="R6" s="641"/>
      <c r="S6" s="641"/>
    </row>
    <row r="7" spans="2:19" ht="15.75" customHeight="1">
      <c r="B7" s="593"/>
      <c r="C7" s="593"/>
      <c r="D7" s="593"/>
      <c r="E7" s="593"/>
      <c r="F7" s="593"/>
      <c r="G7" s="593"/>
      <c r="H7" s="593"/>
      <c r="I7" s="593"/>
      <c r="J7" s="593"/>
      <c r="K7" s="593"/>
      <c r="L7" s="593"/>
      <c r="M7" s="593"/>
      <c r="N7" s="593"/>
      <c r="O7" s="593"/>
      <c r="P7" s="593"/>
      <c r="Q7" s="593"/>
      <c r="R7" s="593"/>
      <c r="S7" s="593"/>
    </row>
    <row r="8" spans="2:19" ht="15.75" customHeight="1">
      <c r="B8" s="630" t="s">
        <v>1094</v>
      </c>
      <c r="C8" s="643"/>
      <c r="D8" s="643"/>
      <c r="E8" s="643"/>
      <c r="F8" s="643"/>
      <c r="G8" s="643"/>
      <c r="H8" s="643"/>
      <c r="I8" s="643"/>
      <c r="J8" s="643"/>
      <c r="K8" s="643"/>
      <c r="L8" s="643"/>
      <c r="M8" s="643"/>
      <c r="N8" s="643"/>
      <c r="O8" s="643"/>
      <c r="P8" s="643"/>
      <c r="Q8" s="643"/>
      <c r="R8" s="643"/>
      <c r="S8" s="631"/>
    </row>
    <row r="9" spans="2:19" ht="15.75" customHeight="1">
      <c r="B9" s="627"/>
      <c r="C9" s="628"/>
      <c r="D9" s="628"/>
      <c r="E9" s="628"/>
      <c r="F9" s="628"/>
      <c r="G9" s="628"/>
      <c r="H9" s="628"/>
      <c r="I9" s="628"/>
      <c r="J9" s="628"/>
      <c r="K9" s="628"/>
      <c r="L9" s="628"/>
      <c r="M9" s="628"/>
      <c r="N9" s="628"/>
      <c r="O9" s="628"/>
      <c r="P9" s="628"/>
      <c r="Q9" s="628"/>
      <c r="R9" s="628"/>
      <c r="S9" s="629"/>
    </row>
    <row r="10" spans="2:19" ht="15.75" customHeight="1">
      <c r="B10" s="641" t="s">
        <v>1093</v>
      </c>
      <c r="C10" s="641"/>
      <c r="D10" s="641"/>
      <c r="E10" s="641"/>
      <c r="F10" s="641"/>
      <c r="G10" s="641"/>
      <c r="H10" s="641"/>
      <c r="I10" s="641"/>
      <c r="J10" s="641"/>
      <c r="K10" s="641"/>
      <c r="L10" s="641"/>
      <c r="M10" s="641"/>
      <c r="N10" s="641"/>
      <c r="O10" s="641"/>
      <c r="P10" s="641" t="s">
        <v>1092</v>
      </c>
      <c r="Q10" s="641"/>
      <c r="R10" s="641"/>
      <c r="S10" s="641"/>
    </row>
    <row r="11" spans="2:19" ht="15.75" customHeight="1">
      <c r="B11" s="593"/>
      <c r="C11" s="593"/>
      <c r="D11" s="593"/>
      <c r="E11" s="593"/>
      <c r="F11" s="593"/>
      <c r="G11" s="593"/>
      <c r="H11" s="593"/>
      <c r="I11" s="593"/>
      <c r="J11" s="593"/>
      <c r="K11" s="593"/>
      <c r="L11" s="593"/>
      <c r="M11" s="593"/>
      <c r="N11" s="593"/>
      <c r="O11" s="593"/>
      <c r="P11" s="593"/>
      <c r="Q11" s="593"/>
      <c r="R11" s="593"/>
      <c r="S11" s="593"/>
    </row>
    <row r="12" spans="2:19" ht="15.75" customHeight="1">
      <c r="B12" s="667" t="s">
        <v>1128</v>
      </c>
      <c r="C12" s="668"/>
      <c r="D12" s="668"/>
      <c r="E12" s="668"/>
      <c r="F12" s="668"/>
      <c r="G12" s="668"/>
      <c r="H12" s="668"/>
      <c r="I12" s="668"/>
      <c r="J12" s="668"/>
      <c r="K12" s="668"/>
      <c r="L12" s="668"/>
      <c r="M12" s="668"/>
      <c r="N12" s="668"/>
      <c r="O12" s="668"/>
      <c r="P12" s="668"/>
      <c r="Q12" s="668"/>
      <c r="R12" s="668"/>
      <c r="S12" s="669"/>
    </row>
    <row r="13" spans="2:19" ht="27.75" customHeight="1">
      <c r="B13" s="659"/>
      <c r="C13" s="660"/>
      <c r="D13" s="660"/>
      <c r="E13" s="660"/>
      <c r="F13" s="660"/>
      <c r="G13" s="660"/>
      <c r="H13" s="660"/>
      <c r="I13" s="660"/>
      <c r="J13" s="660"/>
      <c r="K13" s="660"/>
      <c r="L13" s="660"/>
      <c r="M13" s="660"/>
      <c r="N13" s="660"/>
      <c r="O13" s="660"/>
      <c r="P13" s="660"/>
      <c r="Q13" s="660"/>
      <c r="R13" s="660"/>
      <c r="S13" s="661"/>
    </row>
    <row r="14" ht="9.75" customHeight="1"/>
    <row r="15" spans="2:19" ht="16.5" customHeight="1">
      <c r="B15" s="674" t="s">
        <v>1104</v>
      </c>
      <c r="C15" s="675"/>
      <c r="D15" s="675"/>
      <c r="E15" s="675"/>
      <c r="F15" s="675"/>
      <c r="G15" s="675"/>
      <c r="H15" s="675"/>
      <c r="I15" s="675"/>
      <c r="J15" s="675"/>
      <c r="K15" s="675"/>
      <c r="L15" s="675"/>
      <c r="M15" s="675"/>
      <c r="N15" s="675"/>
      <c r="O15" s="675"/>
      <c r="P15" s="675"/>
      <c r="Q15" s="675"/>
      <c r="R15" s="675"/>
      <c r="S15" s="676"/>
    </row>
    <row r="16" spans="2:19" ht="15.75" customHeight="1">
      <c r="B16" s="588" t="s">
        <v>7</v>
      </c>
      <c r="C16" s="588"/>
      <c r="D16" s="641" t="s">
        <v>9</v>
      </c>
      <c r="E16" s="641"/>
      <c r="F16" s="641"/>
      <c r="G16" s="641"/>
      <c r="H16" s="641"/>
      <c r="I16" s="641"/>
      <c r="J16" s="641"/>
      <c r="K16" s="641"/>
      <c r="L16" s="588" t="s">
        <v>1100</v>
      </c>
      <c r="M16" s="588"/>
      <c r="N16" s="588"/>
      <c r="O16" s="588"/>
      <c r="P16" s="588"/>
      <c r="Q16" s="588"/>
      <c r="R16" s="588"/>
      <c r="S16" s="588"/>
    </row>
    <row r="17" spans="2:19" ht="15.75" customHeight="1">
      <c r="B17" s="589"/>
      <c r="C17" s="589"/>
      <c r="D17" s="593"/>
      <c r="E17" s="593"/>
      <c r="F17" s="593"/>
      <c r="G17" s="593"/>
      <c r="H17" s="593"/>
      <c r="I17" s="593"/>
      <c r="J17" s="593"/>
      <c r="K17" s="593"/>
      <c r="L17" s="589"/>
      <c r="M17" s="589"/>
      <c r="N17" s="589"/>
      <c r="O17" s="589"/>
      <c r="P17" s="589"/>
      <c r="Q17" s="589"/>
      <c r="R17" s="589"/>
      <c r="S17" s="589"/>
    </row>
    <row r="18" spans="2:19" ht="15.75" customHeight="1">
      <c r="B18" s="641" t="s">
        <v>11</v>
      </c>
      <c r="C18" s="641"/>
      <c r="D18" s="641"/>
      <c r="E18" s="641"/>
      <c r="F18" s="641"/>
      <c r="G18" s="641"/>
      <c r="H18" s="641" t="s">
        <v>1099</v>
      </c>
      <c r="I18" s="641"/>
      <c r="J18" s="641"/>
      <c r="K18" s="641"/>
      <c r="L18" s="641"/>
      <c r="M18" s="641"/>
      <c r="N18" s="641"/>
      <c r="O18" s="641"/>
      <c r="P18" s="630" t="s">
        <v>1095</v>
      </c>
      <c r="Q18" s="643"/>
      <c r="R18" s="643"/>
      <c r="S18" s="631"/>
    </row>
    <row r="19" spans="2:19" ht="15.75" customHeight="1">
      <c r="B19" s="593"/>
      <c r="C19" s="593"/>
      <c r="D19" s="593"/>
      <c r="E19" s="593"/>
      <c r="F19" s="593"/>
      <c r="G19" s="593"/>
      <c r="H19" s="593"/>
      <c r="I19" s="593"/>
      <c r="J19" s="593"/>
      <c r="K19" s="593"/>
      <c r="L19" s="593"/>
      <c r="M19" s="593"/>
      <c r="N19" s="593"/>
      <c r="O19" s="593"/>
      <c r="P19" s="593"/>
      <c r="Q19" s="593"/>
      <c r="R19" s="593"/>
      <c r="S19" s="593"/>
    </row>
    <row r="20" spans="2:19" ht="15.75" customHeight="1">
      <c r="B20" s="641" t="s">
        <v>1098</v>
      </c>
      <c r="C20" s="641"/>
      <c r="D20" s="641"/>
      <c r="E20" s="641"/>
      <c r="F20" s="641"/>
      <c r="G20" s="641"/>
      <c r="H20" s="641"/>
      <c r="I20" s="641"/>
      <c r="J20" s="641"/>
      <c r="K20" s="641"/>
      <c r="L20" s="590" t="s">
        <v>15</v>
      </c>
      <c r="M20" s="591"/>
      <c r="N20" s="591"/>
      <c r="O20" s="643" t="s">
        <v>14</v>
      </c>
      <c r="P20" s="631"/>
      <c r="Q20" s="641" t="s">
        <v>18</v>
      </c>
      <c r="R20" s="641"/>
      <c r="S20" s="641"/>
    </row>
    <row r="21" spans="2:19" ht="15.75" customHeight="1">
      <c r="B21" s="593"/>
      <c r="C21" s="593"/>
      <c r="D21" s="593"/>
      <c r="E21" s="593"/>
      <c r="F21" s="593"/>
      <c r="G21" s="593"/>
      <c r="H21" s="593"/>
      <c r="I21" s="593"/>
      <c r="J21" s="593"/>
      <c r="K21" s="593"/>
      <c r="L21" s="593"/>
      <c r="M21" s="593"/>
      <c r="N21" s="593"/>
      <c r="O21" s="665"/>
      <c r="P21" s="665"/>
      <c r="Q21" s="665"/>
      <c r="R21" s="665"/>
      <c r="S21" s="665"/>
    </row>
    <row r="22" spans="2:19" ht="15.75" customHeight="1">
      <c r="B22" s="630" t="s">
        <v>1094</v>
      </c>
      <c r="C22" s="643"/>
      <c r="D22" s="643"/>
      <c r="E22" s="643"/>
      <c r="F22" s="643"/>
      <c r="G22" s="643"/>
      <c r="H22" s="643"/>
      <c r="I22" s="643"/>
      <c r="J22" s="643"/>
      <c r="K22" s="643"/>
      <c r="L22" s="643"/>
      <c r="M22" s="643"/>
      <c r="N22" s="643"/>
      <c r="O22" s="643"/>
      <c r="P22" s="643"/>
      <c r="Q22" s="643"/>
      <c r="R22" s="643"/>
      <c r="S22" s="631"/>
    </row>
    <row r="23" spans="2:19" ht="15.75" customHeight="1">
      <c r="B23" s="627"/>
      <c r="C23" s="628"/>
      <c r="D23" s="628"/>
      <c r="E23" s="628"/>
      <c r="F23" s="628"/>
      <c r="G23" s="628"/>
      <c r="H23" s="628"/>
      <c r="I23" s="628"/>
      <c r="J23" s="628"/>
      <c r="K23" s="628"/>
      <c r="L23" s="628"/>
      <c r="M23" s="628"/>
      <c r="N23" s="628"/>
      <c r="O23" s="628"/>
      <c r="P23" s="628"/>
      <c r="Q23" s="628"/>
      <c r="R23" s="628"/>
      <c r="S23" s="629"/>
    </row>
    <row r="24" spans="2:19" ht="15.75" customHeight="1">
      <c r="B24" s="641" t="s">
        <v>1093</v>
      </c>
      <c r="C24" s="641"/>
      <c r="D24" s="641"/>
      <c r="E24" s="641"/>
      <c r="F24" s="641"/>
      <c r="G24" s="641"/>
      <c r="H24" s="641"/>
      <c r="I24" s="641"/>
      <c r="J24" s="641"/>
      <c r="K24" s="641"/>
      <c r="L24" s="641"/>
      <c r="M24" s="641"/>
      <c r="N24" s="641"/>
      <c r="O24" s="641"/>
      <c r="P24" s="641" t="s">
        <v>1092</v>
      </c>
      <c r="Q24" s="641"/>
      <c r="R24" s="641"/>
      <c r="S24" s="641"/>
    </row>
    <row r="25" spans="2:19" ht="15.75" customHeight="1">
      <c r="B25" s="593"/>
      <c r="C25" s="593"/>
      <c r="D25" s="593"/>
      <c r="E25" s="593"/>
      <c r="F25" s="593"/>
      <c r="G25" s="593"/>
      <c r="H25" s="593"/>
      <c r="I25" s="593"/>
      <c r="J25" s="593"/>
      <c r="K25" s="593"/>
      <c r="L25" s="593"/>
      <c r="M25" s="593"/>
      <c r="N25" s="593"/>
      <c r="O25" s="593"/>
      <c r="P25" s="593"/>
      <c r="Q25" s="593"/>
      <c r="R25" s="593"/>
      <c r="S25" s="593"/>
    </row>
    <row r="26" ht="9.75" customHeight="1"/>
    <row r="27" spans="2:19" ht="16.5" customHeight="1">
      <c r="B27" s="674" t="s">
        <v>1103</v>
      </c>
      <c r="C27" s="675"/>
      <c r="D27" s="675"/>
      <c r="E27" s="675"/>
      <c r="F27" s="675"/>
      <c r="G27" s="675"/>
      <c r="H27" s="675"/>
      <c r="I27" s="675"/>
      <c r="J27" s="675"/>
      <c r="K27" s="675"/>
      <c r="L27" s="675"/>
      <c r="M27" s="675"/>
      <c r="N27" s="675"/>
      <c r="O27" s="675"/>
      <c r="P27" s="675"/>
      <c r="Q27" s="675"/>
      <c r="R27" s="675"/>
      <c r="S27" s="676"/>
    </row>
    <row r="28" spans="2:19" ht="15.75" customHeight="1">
      <c r="B28" s="667" t="s">
        <v>1102</v>
      </c>
      <c r="C28" s="668"/>
      <c r="D28" s="668"/>
      <c r="E28" s="668"/>
      <c r="F28" s="668"/>
      <c r="G28" s="668"/>
      <c r="H28" s="668"/>
      <c r="I28" s="668"/>
      <c r="J28" s="668"/>
      <c r="K28" s="668"/>
      <c r="L28" s="668"/>
      <c r="M28" s="668"/>
      <c r="N28" s="668"/>
      <c r="O28" s="668"/>
      <c r="P28" s="668"/>
      <c r="Q28" s="668"/>
      <c r="R28" s="668"/>
      <c r="S28" s="669"/>
    </row>
    <row r="29" spans="2:19" ht="15.75" customHeight="1">
      <c r="B29" s="588" t="s">
        <v>7</v>
      </c>
      <c r="C29" s="588"/>
      <c r="D29" s="641" t="s">
        <v>9</v>
      </c>
      <c r="E29" s="641"/>
      <c r="F29" s="641"/>
      <c r="G29" s="641"/>
      <c r="H29" s="641"/>
      <c r="I29" s="641"/>
      <c r="J29" s="641"/>
      <c r="K29" s="641"/>
      <c r="L29" s="588" t="s">
        <v>1100</v>
      </c>
      <c r="M29" s="588"/>
      <c r="N29" s="588"/>
      <c r="O29" s="588"/>
      <c r="P29" s="588"/>
      <c r="Q29" s="588"/>
      <c r="R29" s="588"/>
      <c r="S29" s="588"/>
    </row>
    <row r="30" spans="2:19" ht="15.75" customHeight="1">
      <c r="B30" s="589"/>
      <c r="C30" s="589"/>
      <c r="D30" s="593"/>
      <c r="E30" s="593"/>
      <c r="F30" s="593"/>
      <c r="G30" s="593"/>
      <c r="H30" s="593"/>
      <c r="I30" s="593"/>
      <c r="J30" s="593"/>
      <c r="K30" s="593"/>
      <c r="L30" s="589"/>
      <c r="M30" s="589"/>
      <c r="N30" s="589"/>
      <c r="O30" s="589"/>
      <c r="P30" s="589"/>
      <c r="Q30" s="589"/>
      <c r="R30" s="589"/>
      <c r="S30" s="589"/>
    </row>
    <row r="31" spans="2:19" ht="15.75" customHeight="1">
      <c r="B31" s="641" t="s">
        <v>11</v>
      </c>
      <c r="C31" s="641"/>
      <c r="D31" s="641"/>
      <c r="E31" s="641"/>
      <c r="F31" s="641"/>
      <c r="G31" s="641"/>
      <c r="H31" s="641" t="s">
        <v>1099</v>
      </c>
      <c r="I31" s="641"/>
      <c r="J31" s="641"/>
      <c r="K31" s="641"/>
      <c r="L31" s="641"/>
      <c r="M31" s="641"/>
      <c r="N31" s="641"/>
      <c r="O31" s="641"/>
      <c r="P31" s="630" t="s">
        <v>1095</v>
      </c>
      <c r="Q31" s="643"/>
      <c r="R31" s="643"/>
      <c r="S31" s="631"/>
    </row>
    <row r="32" spans="2:19" ht="15.75" customHeight="1">
      <c r="B32" s="593"/>
      <c r="C32" s="593"/>
      <c r="D32" s="593"/>
      <c r="E32" s="593"/>
      <c r="F32" s="593"/>
      <c r="G32" s="593"/>
      <c r="H32" s="593"/>
      <c r="I32" s="593"/>
      <c r="J32" s="593"/>
      <c r="K32" s="593"/>
      <c r="L32" s="593"/>
      <c r="M32" s="593"/>
      <c r="N32" s="593"/>
      <c r="O32" s="593"/>
      <c r="P32" s="593"/>
      <c r="Q32" s="593"/>
      <c r="R32" s="593"/>
      <c r="S32" s="593"/>
    </row>
    <row r="33" spans="2:19" ht="15.75" customHeight="1">
      <c r="B33" s="641" t="s">
        <v>1098</v>
      </c>
      <c r="C33" s="641"/>
      <c r="D33" s="641"/>
      <c r="E33" s="641"/>
      <c r="F33" s="641"/>
      <c r="G33" s="641"/>
      <c r="H33" s="641"/>
      <c r="I33" s="641"/>
      <c r="J33" s="641"/>
      <c r="K33" s="641"/>
      <c r="L33" s="590" t="s">
        <v>15</v>
      </c>
      <c r="M33" s="591"/>
      <c r="N33" s="591"/>
      <c r="O33" s="643" t="s">
        <v>14</v>
      </c>
      <c r="P33" s="631"/>
      <c r="Q33" s="641" t="s">
        <v>18</v>
      </c>
      <c r="R33" s="641"/>
      <c r="S33" s="641"/>
    </row>
    <row r="34" spans="2:19" ht="15.75" customHeight="1">
      <c r="B34" s="593"/>
      <c r="C34" s="593"/>
      <c r="D34" s="593"/>
      <c r="E34" s="593"/>
      <c r="F34" s="593"/>
      <c r="G34" s="593"/>
      <c r="H34" s="593"/>
      <c r="I34" s="593"/>
      <c r="J34" s="593"/>
      <c r="K34" s="593"/>
      <c r="L34" s="593"/>
      <c r="M34" s="593"/>
      <c r="N34" s="593"/>
      <c r="O34" s="665"/>
      <c r="P34" s="665"/>
      <c r="Q34" s="665"/>
      <c r="R34" s="665"/>
      <c r="S34" s="665"/>
    </row>
    <row r="35" spans="2:19" ht="15.75" customHeight="1">
      <c r="B35" s="630" t="s">
        <v>1094</v>
      </c>
      <c r="C35" s="643"/>
      <c r="D35" s="643"/>
      <c r="E35" s="643"/>
      <c r="F35" s="643"/>
      <c r="G35" s="643"/>
      <c r="H35" s="643"/>
      <c r="I35" s="643"/>
      <c r="J35" s="643"/>
      <c r="K35" s="643"/>
      <c r="L35" s="643"/>
      <c r="M35" s="643"/>
      <c r="N35" s="643"/>
      <c r="O35" s="643"/>
      <c r="P35" s="643"/>
      <c r="Q35" s="643"/>
      <c r="R35" s="643"/>
      <c r="S35" s="631"/>
    </row>
    <row r="36" spans="2:19" ht="15.75" customHeight="1">
      <c r="B36" s="627"/>
      <c r="C36" s="628"/>
      <c r="D36" s="628"/>
      <c r="E36" s="628"/>
      <c r="F36" s="628"/>
      <c r="G36" s="628"/>
      <c r="H36" s="628"/>
      <c r="I36" s="628"/>
      <c r="J36" s="628"/>
      <c r="K36" s="628"/>
      <c r="L36" s="628"/>
      <c r="M36" s="628"/>
      <c r="N36" s="628"/>
      <c r="O36" s="628"/>
      <c r="P36" s="628"/>
      <c r="Q36" s="628"/>
      <c r="R36" s="628"/>
      <c r="S36" s="629"/>
    </row>
    <row r="37" spans="2:19" ht="15.75" customHeight="1">
      <c r="B37" s="641" t="s">
        <v>1093</v>
      </c>
      <c r="C37" s="641"/>
      <c r="D37" s="641"/>
      <c r="E37" s="641"/>
      <c r="F37" s="641"/>
      <c r="G37" s="641"/>
      <c r="H37" s="641"/>
      <c r="I37" s="641"/>
      <c r="J37" s="641"/>
      <c r="K37" s="641"/>
      <c r="L37" s="641"/>
      <c r="M37" s="641"/>
      <c r="N37" s="641"/>
      <c r="O37" s="641"/>
      <c r="P37" s="641" t="s">
        <v>1092</v>
      </c>
      <c r="Q37" s="641"/>
      <c r="R37" s="641"/>
      <c r="S37" s="641"/>
    </row>
    <row r="38" spans="2:19" ht="15.75" customHeight="1">
      <c r="B38" s="593"/>
      <c r="C38" s="593"/>
      <c r="D38" s="593"/>
      <c r="E38" s="593"/>
      <c r="F38" s="593"/>
      <c r="G38" s="593"/>
      <c r="H38" s="593"/>
      <c r="I38" s="593"/>
      <c r="J38" s="593"/>
      <c r="K38" s="593"/>
      <c r="L38" s="593"/>
      <c r="M38" s="593"/>
      <c r="N38" s="593"/>
      <c r="O38" s="593"/>
      <c r="P38" s="593"/>
      <c r="Q38" s="593"/>
      <c r="R38" s="593"/>
      <c r="S38" s="593"/>
    </row>
    <row r="39" ht="9.75" customHeight="1"/>
    <row r="40" spans="2:19" ht="16.5" customHeight="1">
      <c r="B40" s="674" t="s">
        <v>1101</v>
      </c>
      <c r="C40" s="675"/>
      <c r="D40" s="675"/>
      <c r="E40" s="675"/>
      <c r="F40" s="675"/>
      <c r="G40" s="675"/>
      <c r="H40" s="675"/>
      <c r="I40" s="675"/>
      <c r="J40" s="675"/>
      <c r="K40" s="675"/>
      <c r="L40" s="675"/>
      <c r="M40" s="675"/>
      <c r="N40" s="675"/>
      <c r="O40" s="675"/>
      <c r="P40" s="675"/>
      <c r="Q40" s="675"/>
      <c r="R40" s="675"/>
      <c r="S40" s="676"/>
    </row>
    <row r="41" spans="2:19" ht="15.75" customHeight="1">
      <c r="B41" s="588" t="s">
        <v>7</v>
      </c>
      <c r="C41" s="588"/>
      <c r="D41" s="641" t="s">
        <v>9</v>
      </c>
      <c r="E41" s="641"/>
      <c r="F41" s="641"/>
      <c r="G41" s="641"/>
      <c r="H41" s="641"/>
      <c r="I41" s="641"/>
      <c r="J41" s="641"/>
      <c r="K41" s="641"/>
      <c r="L41" s="588" t="s">
        <v>1100</v>
      </c>
      <c r="M41" s="588"/>
      <c r="N41" s="588"/>
      <c r="O41" s="588"/>
      <c r="P41" s="588"/>
      <c r="Q41" s="588"/>
      <c r="R41" s="588"/>
      <c r="S41" s="588"/>
    </row>
    <row r="42" spans="2:19" ht="15.75" customHeight="1">
      <c r="B42" s="589"/>
      <c r="C42" s="589"/>
      <c r="D42" s="593"/>
      <c r="E42" s="593"/>
      <c r="F42" s="593"/>
      <c r="G42" s="593"/>
      <c r="H42" s="593"/>
      <c r="I42" s="593"/>
      <c r="J42" s="593"/>
      <c r="K42" s="593"/>
      <c r="L42" s="589"/>
      <c r="M42" s="589"/>
      <c r="N42" s="589"/>
      <c r="O42" s="589"/>
      <c r="P42" s="589"/>
      <c r="Q42" s="589"/>
      <c r="R42" s="589"/>
      <c r="S42" s="589"/>
    </row>
    <row r="43" spans="2:19" ht="15.75" customHeight="1">
      <c r="B43" s="641" t="s">
        <v>11</v>
      </c>
      <c r="C43" s="641"/>
      <c r="D43" s="641"/>
      <c r="E43" s="641"/>
      <c r="F43" s="641"/>
      <c r="G43" s="641"/>
      <c r="H43" s="641" t="s">
        <v>1099</v>
      </c>
      <c r="I43" s="641"/>
      <c r="J43" s="641"/>
      <c r="K43" s="641"/>
      <c r="L43" s="641"/>
      <c r="M43" s="641"/>
      <c r="N43" s="641"/>
      <c r="O43" s="641"/>
      <c r="P43" s="630" t="s">
        <v>1095</v>
      </c>
      <c r="Q43" s="643"/>
      <c r="R43" s="643"/>
      <c r="S43" s="631"/>
    </row>
    <row r="44" spans="2:19" ht="15.75" customHeight="1">
      <c r="B44" s="593"/>
      <c r="C44" s="593"/>
      <c r="D44" s="593"/>
      <c r="E44" s="593"/>
      <c r="F44" s="593"/>
      <c r="G44" s="593"/>
      <c r="H44" s="593"/>
      <c r="I44" s="593"/>
      <c r="J44" s="593"/>
      <c r="K44" s="593"/>
      <c r="L44" s="593"/>
      <c r="M44" s="593"/>
      <c r="N44" s="593"/>
      <c r="O44" s="593"/>
      <c r="P44" s="593"/>
      <c r="Q44" s="593"/>
      <c r="R44" s="593"/>
      <c r="S44" s="593"/>
    </row>
    <row r="45" spans="2:19" ht="15.75" customHeight="1">
      <c r="B45" s="641" t="s">
        <v>1098</v>
      </c>
      <c r="C45" s="641"/>
      <c r="D45" s="641"/>
      <c r="E45" s="641"/>
      <c r="F45" s="641"/>
      <c r="G45" s="641"/>
      <c r="H45" s="641"/>
      <c r="I45" s="641"/>
      <c r="J45" s="641"/>
      <c r="K45" s="641"/>
      <c r="L45" s="590" t="s">
        <v>15</v>
      </c>
      <c r="M45" s="591"/>
      <c r="N45" s="591"/>
      <c r="O45" s="643" t="s">
        <v>14</v>
      </c>
      <c r="P45" s="631"/>
      <c r="Q45" s="641" t="s">
        <v>18</v>
      </c>
      <c r="R45" s="641"/>
      <c r="S45" s="641"/>
    </row>
    <row r="46" spans="2:19" ht="15.75" customHeight="1">
      <c r="B46" s="593"/>
      <c r="C46" s="593"/>
      <c r="D46" s="593"/>
      <c r="E46" s="593"/>
      <c r="F46" s="593"/>
      <c r="G46" s="593"/>
      <c r="H46" s="593"/>
      <c r="I46" s="593"/>
      <c r="J46" s="593"/>
      <c r="K46" s="593"/>
      <c r="L46" s="593"/>
      <c r="M46" s="593"/>
      <c r="N46" s="593"/>
      <c r="O46" s="665"/>
      <c r="P46" s="665"/>
      <c r="Q46" s="665"/>
      <c r="R46" s="665"/>
      <c r="S46" s="665"/>
    </row>
    <row r="47" spans="2:19" ht="15.75" customHeight="1">
      <c r="B47" s="630" t="s">
        <v>1094</v>
      </c>
      <c r="C47" s="643"/>
      <c r="D47" s="643"/>
      <c r="E47" s="643"/>
      <c r="F47" s="643"/>
      <c r="G47" s="643"/>
      <c r="H47" s="643"/>
      <c r="I47" s="643"/>
      <c r="J47" s="643"/>
      <c r="K47" s="643"/>
      <c r="L47" s="643"/>
      <c r="M47" s="643"/>
      <c r="N47" s="643"/>
      <c r="O47" s="643"/>
      <c r="P47" s="643"/>
      <c r="Q47" s="643"/>
      <c r="R47" s="643"/>
      <c r="S47" s="631"/>
    </row>
    <row r="48" spans="2:19" ht="15.75" customHeight="1">
      <c r="B48" s="627"/>
      <c r="C48" s="628"/>
      <c r="D48" s="628"/>
      <c r="E48" s="628"/>
      <c r="F48" s="628"/>
      <c r="G48" s="628"/>
      <c r="H48" s="628"/>
      <c r="I48" s="628"/>
      <c r="J48" s="628"/>
      <c r="K48" s="628"/>
      <c r="L48" s="628"/>
      <c r="M48" s="628"/>
      <c r="N48" s="628"/>
      <c r="O48" s="628"/>
      <c r="P48" s="628"/>
      <c r="Q48" s="628"/>
      <c r="R48" s="628"/>
      <c r="S48" s="629"/>
    </row>
    <row r="49" spans="2:19" ht="15.75" customHeight="1">
      <c r="B49" s="641" t="s">
        <v>1093</v>
      </c>
      <c r="C49" s="641"/>
      <c r="D49" s="641"/>
      <c r="E49" s="641"/>
      <c r="F49" s="641"/>
      <c r="G49" s="641"/>
      <c r="H49" s="641"/>
      <c r="I49" s="641"/>
      <c r="J49" s="641"/>
      <c r="K49" s="641"/>
      <c r="L49" s="641"/>
      <c r="M49" s="641"/>
      <c r="N49" s="641"/>
      <c r="O49" s="641"/>
      <c r="P49" s="641" t="s">
        <v>1092</v>
      </c>
      <c r="Q49" s="641"/>
      <c r="R49" s="641"/>
      <c r="S49" s="641"/>
    </row>
    <row r="50" spans="2:19" ht="15.75" customHeight="1">
      <c r="B50" s="593"/>
      <c r="C50" s="593"/>
      <c r="D50" s="593"/>
      <c r="E50" s="593"/>
      <c r="F50" s="593"/>
      <c r="G50" s="593"/>
      <c r="H50" s="593"/>
      <c r="I50" s="593"/>
      <c r="J50" s="593"/>
      <c r="K50" s="593"/>
      <c r="L50" s="593"/>
      <c r="M50" s="593"/>
      <c r="N50" s="593"/>
      <c r="O50" s="593"/>
      <c r="P50" s="593"/>
      <c r="Q50" s="593"/>
      <c r="R50" s="593"/>
      <c r="S50" s="593"/>
    </row>
    <row r="51" ht="9.75" customHeight="1"/>
    <row r="52" spans="2:19" ht="16.5" customHeight="1">
      <c r="B52" s="653" t="s">
        <v>1097</v>
      </c>
      <c r="C52" s="654"/>
      <c r="D52" s="654"/>
      <c r="E52" s="654"/>
      <c r="F52" s="654"/>
      <c r="G52" s="654"/>
      <c r="H52" s="654"/>
      <c r="I52" s="654"/>
      <c r="J52" s="654"/>
      <c r="K52" s="654"/>
      <c r="L52" s="654"/>
      <c r="M52" s="654"/>
      <c r="N52" s="654"/>
      <c r="O52" s="654"/>
      <c r="P52" s="654"/>
      <c r="Q52" s="654"/>
      <c r="R52" s="654"/>
      <c r="S52" s="655"/>
    </row>
    <row r="53" spans="2:19" ht="15.75" customHeight="1">
      <c r="B53" s="588" t="s">
        <v>1096</v>
      </c>
      <c r="C53" s="588"/>
      <c r="D53" s="588"/>
      <c r="E53" s="588"/>
      <c r="F53" s="588"/>
      <c r="G53" s="588"/>
      <c r="H53" s="588"/>
      <c r="I53" s="588"/>
      <c r="J53" s="588"/>
      <c r="K53" s="588"/>
      <c r="L53" s="588"/>
      <c r="M53" s="588"/>
      <c r="N53" s="588"/>
      <c r="O53" s="588"/>
      <c r="P53" s="641" t="s">
        <v>1095</v>
      </c>
      <c r="Q53" s="641"/>
      <c r="R53" s="641"/>
      <c r="S53" s="641"/>
    </row>
    <row r="54" spans="2:19" ht="15.75" customHeight="1">
      <c r="B54" s="593"/>
      <c r="C54" s="593"/>
      <c r="D54" s="593"/>
      <c r="E54" s="593"/>
      <c r="F54" s="593"/>
      <c r="G54" s="593"/>
      <c r="H54" s="593"/>
      <c r="I54" s="593"/>
      <c r="J54" s="593"/>
      <c r="K54" s="593"/>
      <c r="L54" s="593"/>
      <c r="M54" s="593"/>
      <c r="N54" s="593"/>
      <c r="O54" s="593"/>
      <c r="P54" s="593"/>
      <c r="Q54" s="593"/>
      <c r="R54" s="593"/>
      <c r="S54" s="593"/>
    </row>
    <row r="55" spans="2:19" ht="15.75" customHeight="1">
      <c r="B55" s="630" t="s">
        <v>1094</v>
      </c>
      <c r="C55" s="643"/>
      <c r="D55" s="643"/>
      <c r="E55" s="643"/>
      <c r="F55" s="643"/>
      <c r="G55" s="643"/>
      <c r="H55" s="643"/>
      <c r="I55" s="643"/>
      <c r="J55" s="643"/>
      <c r="K55" s="643"/>
      <c r="L55" s="643"/>
      <c r="M55" s="643"/>
      <c r="N55" s="643"/>
      <c r="O55" s="643"/>
      <c r="P55" s="643"/>
      <c r="Q55" s="643"/>
      <c r="R55" s="643"/>
      <c r="S55" s="631"/>
    </row>
    <row r="56" spans="2:19" ht="15.75" customHeight="1">
      <c r="B56" s="627"/>
      <c r="C56" s="628"/>
      <c r="D56" s="628"/>
      <c r="E56" s="628"/>
      <c r="F56" s="628"/>
      <c r="G56" s="628"/>
      <c r="H56" s="628"/>
      <c r="I56" s="628"/>
      <c r="J56" s="628"/>
      <c r="K56" s="628"/>
      <c r="L56" s="628"/>
      <c r="M56" s="628"/>
      <c r="N56" s="628"/>
      <c r="O56" s="628"/>
      <c r="P56" s="628"/>
      <c r="Q56" s="628"/>
      <c r="R56" s="628"/>
      <c r="S56" s="629"/>
    </row>
    <row r="57" spans="2:19" ht="15.75" customHeight="1">
      <c r="B57" s="588" t="s">
        <v>1093</v>
      </c>
      <c r="C57" s="588"/>
      <c r="D57" s="588"/>
      <c r="E57" s="588"/>
      <c r="F57" s="588"/>
      <c r="G57" s="588"/>
      <c r="H57" s="588"/>
      <c r="I57" s="588"/>
      <c r="J57" s="588"/>
      <c r="K57" s="588"/>
      <c r="L57" s="641" t="s">
        <v>1092</v>
      </c>
      <c r="M57" s="641"/>
      <c r="N57" s="641"/>
      <c r="O57" s="641" t="s">
        <v>145</v>
      </c>
      <c r="P57" s="641"/>
      <c r="Q57" s="641"/>
      <c r="R57" s="641"/>
      <c r="S57" s="641"/>
    </row>
    <row r="58" spans="2:25" ht="15.75" customHeight="1">
      <c r="B58" s="589"/>
      <c r="C58" s="589"/>
      <c r="D58" s="589"/>
      <c r="E58" s="589"/>
      <c r="F58" s="589"/>
      <c r="G58" s="589"/>
      <c r="H58" s="589"/>
      <c r="I58" s="589"/>
      <c r="J58" s="589"/>
      <c r="K58" s="589"/>
      <c r="L58" s="589"/>
      <c r="M58" s="589"/>
      <c r="N58" s="589"/>
      <c r="O58" s="642" t="s">
        <v>8</v>
      </c>
      <c r="P58" s="642"/>
      <c r="Q58" s="642"/>
      <c r="R58" s="642"/>
      <c r="S58" s="642"/>
      <c r="T58" s="454"/>
      <c r="U58" s="455"/>
      <c r="V58" s="454"/>
      <c r="W58" s="454"/>
      <c r="X58" s="454"/>
      <c r="Y58" s="454"/>
    </row>
    <row r="59" spans="2:19" ht="15.75" customHeight="1">
      <c r="B59" s="630" t="s">
        <v>1091</v>
      </c>
      <c r="C59" s="643"/>
      <c r="D59" s="643"/>
      <c r="E59" s="631"/>
      <c r="F59" s="630" t="s">
        <v>23</v>
      </c>
      <c r="G59" s="631"/>
      <c r="H59" s="630" t="s">
        <v>146</v>
      </c>
      <c r="I59" s="643"/>
      <c r="J59" s="643"/>
      <c r="K59" s="643"/>
      <c r="L59" s="643"/>
      <c r="M59" s="643"/>
      <c r="N59" s="643"/>
      <c r="O59" s="631"/>
      <c r="P59" s="590" t="s">
        <v>757</v>
      </c>
      <c r="Q59" s="591"/>
      <c r="R59" s="591"/>
      <c r="S59" s="592"/>
    </row>
    <row r="60" spans="2:19" ht="15.75" customHeight="1">
      <c r="B60" s="627"/>
      <c r="C60" s="628"/>
      <c r="D60" s="628"/>
      <c r="E60" s="629"/>
      <c r="F60" s="627"/>
      <c r="G60" s="629"/>
      <c r="H60" s="627" t="s">
        <v>8</v>
      </c>
      <c r="I60" s="628"/>
      <c r="J60" s="628"/>
      <c r="K60" s="628"/>
      <c r="L60" s="628"/>
      <c r="M60" s="628"/>
      <c r="N60" s="628"/>
      <c r="O60" s="629"/>
      <c r="P60" s="638">
        <f ca="1">IF(H60="Choisir…","",INDEX(OFFSET(Secteur,,1,,),MATCH(H60,Secteur,0)))</f>
      </c>
      <c r="Q60" s="639"/>
      <c r="R60" s="639"/>
      <c r="S60" s="640"/>
    </row>
    <row r="61" spans="2:19" ht="15.75" customHeight="1">
      <c r="B61" s="667" t="s">
        <v>184</v>
      </c>
      <c r="C61" s="668"/>
      <c r="D61" s="668"/>
      <c r="E61" s="668"/>
      <c r="F61" s="668"/>
      <c r="G61" s="668"/>
      <c r="H61" s="668"/>
      <c r="I61" s="668"/>
      <c r="J61" s="668"/>
      <c r="K61" s="668"/>
      <c r="L61" s="668"/>
      <c r="M61" s="668"/>
      <c r="N61" s="668"/>
      <c r="O61" s="668"/>
      <c r="P61" s="668"/>
      <c r="Q61" s="668"/>
      <c r="R61" s="668"/>
      <c r="S61" s="669"/>
    </row>
    <row r="62" spans="2:19" ht="15.75" customHeight="1">
      <c r="B62" s="590" t="s">
        <v>168</v>
      </c>
      <c r="C62" s="591"/>
      <c r="D62" s="591"/>
      <c r="E62" s="591"/>
      <c r="F62" s="591"/>
      <c r="G62" s="591"/>
      <c r="H62" s="591"/>
      <c r="I62" s="591"/>
      <c r="J62" s="592"/>
      <c r="K62" s="590" t="s">
        <v>183</v>
      </c>
      <c r="L62" s="591"/>
      <c r="M62" s="591"/>
      <c r="N62" s="591"/>
      <c r="O62" s="591"/>
      <c r="P62" s="591"/>
      <c r="Q62" s="591"/>
      <c r="R62" s="591"/>
      <c r="S62" s="592"/>
    </row>
    <row r="63" spans="2:19" ht="15.75" customHeight="1">
      <c r="B63" s="664" t="s">
        <v>8</v>
      </c>
      <c r="C63" s="651"/>
      <c r="D63" s="651"/>
      <c r="E63" s="651"/>
      <c r="F63" s="651"/>
      <c r="G63" s="651"/>
      <c r="H63" s="651"/>
      <c r="I63" s="651"/>
      <c r="J63" s="652"/>
      <c r="K63" s="664"/>
      <c r="L63" s="651"/>
      <c r="M63" s="651"/>
      <c r="N63" s="651"/>
      <c r="O63" s="651"/>
      <c r="P63" s="651"/>
      <c r="Q63" s="651"/>
      <c r="R63" s="651"/>
      <c r="S63" s="652"/>
    </row>
    <row r="64" ht="9.75" customHeight="1"/>
    <row r="65" spans="2:19" ht="16.5" customHeight="1">
      <c r="B65" s="653" t="s">
        <v>1090</v>
      </c>
      <c r="C65" s="654"/>
      <c r="D65" s="654"/>
      <c r="E65" s="654"/>
      <c r="F65" s="654"/>
      <c r="G65" s="654"/>
      <c r="H65" s="654"/>
      <c r="I65" s="654"/>
      <c r="J65" s="654"/>
      <c r="K65" s="654"/>
      <c r="L65" s="654"/>
      <c r="M65" s="654"/>
      <c r="N65" s="654"/>
      <c r="O65" s="654"/>
      <c r="P65" s="654"/>
      <c r="Q65" s="654"/>
      <c r="R65" s="654"/>
      <c r="S65" s="655"/>
    </row>
    <row r="66" spans="2:19" ht="15.75" customHeight="1">
      <c r="B66" s="632" t="s">
        <v>1089</v>
      </c>
      <c r="C66" s="633"/>
      <c r="D66" s="633"/>
      <c r="E66" s="633"/>
      <c r="F66" s="633"/>
      <c r="G66" s="633"/>
      <c r="H66" s="633"/>
      <c r="I66" s="633"/>
      <c r="J66" s="634"/>
      <c r="K66" s="632" t="s">
        <v>1088</v>
      </c>
      <c r="L66" s="633"/>
      <c r="M66" s="633"/>
      <c r="N66" s="633"/>
      <c r="O66" s="633"/>
      <c r="P66" s="633"/>
      <c r="Q66" s="633"/>
      <c r="R66" s="633"/>
      <c r="S66" s="634"/>
    </row>
    <row r="67" spans="2:19" ht="15.75" customHeight="1">
      <c r="B67" s="635"/>
      <c r="C67" s="636"/>
      <c r="D67" s="636"/>
      <c r="E67" s="636"/>
      <c r="F67" s="636"/>
      <c r="G67" s="636"/>
      <c r="H67" s="636"/>
      <c r="I67" s="636"/>
      <c r="J67" s="637"/>
      <c r="K67" s="635"/>
      <c r="L67" s="636"/>
      <c r="M67" s="636"/>
      <c r="N67" s="636"/>
      <c r="O67" s="636"/>
      <c r="P67" s="636"/>
      <c r="Q67" s="636"/>
      <c r="R67" s="636"/>
      <c r="S67" s="637"/>
    </row>
    <row r="68" spans="2:21" ht="15.75" customHeight="1">
      <c r="B68" s="623" t="s">
        <v>1087</v>
      </c>
      <c r="C68" s="624"/>
      <c r="D68" s="624"/>
      <c r="E68" s="625"/>
      <c r="F68" s="621" t="s">
        <v>23</v>
      </c>
      <c r="G68" s="622"/>
      <c r="H68" s="621" t="s">
        <v>515</v>
      </c>
      <c r="I68" s="626"/>
      <c r="J68" s="622"/>
      <c r="K68" s="623" t="s">
        <v>1086</v>
      </c>
      <c r="L68" s="624"/>
      <c r="M68" s="625"/>
      <c r="N68" s="621" t="s">
        <v>517</v>
      </c>
      <c r="O68" s="622"/>
      <c r="P68" s="621" t="s">
        <v>518</v>
      </c>
      <c r="Q68" s="622"/>
      <c r="R68" s="621" t="s">
        <v>519</v>
      </c>
      <c r="S68" s="622"/>
      <c r="U68" s="452"/>
    </row>
    <row r="69" spans="2:21" ht="15.75" customHeight="1">
      <c r="B69" s="611"/>
      <c r="C69" s="612"/>
      <c r="D69" s="612"/>
      <c r="E69" s="613"/>
      <c r="F69" s="614">
        <f>IF('1. Demande'!J76=0,"",'1. Demande'!J76)</f>
      </c>
      <c r="G69" s="615"/>
      <c r="H69" s="616"/>
      <c r="I69" s="617"/>
      <c r="J69" s="618"/>
      <c r="K69" s="616"/>
      <c r="L69" s="617"/>
      <c r="M69" s="618"/>
      <c r="N69" s="614">
        <f>IF('1. Demande'!AA76=0,"",'1. Demande'!AA76)</f>
      </c>
      <c r="O69" s="615"/>
      <c r="P69" s="619">
        <f>IF('1. Demande'!AE76=0,"",'1. Demande'!AE76)</f>
      </c>
      <c r="Q69" s="620"/>
      <c r="R69" s="597">
        <f>IF('1. Demande'!AJ76=0,"",'1. Demande'!AJ76)</f>
      </c>
      <c r="S69" s="598"/>
      <c r="U69" s="452"/>
    </row>
    <row r="70" spans="2:19" ht="15.75" customHeight="1">
      <c r="B70" s="611"/>
      <c r="C70" s="612"/>
      <c r="D70" s="612"/>
      <c r="E70" s="613"/>
      <c r="F70" s="614">
        <f>IF('1. Demande'!J77=0,"",'1. Demande'!J77)</f>
      </c>
      <c r="G70" s="615"/>
      <c r="H70" s="616"/>
      <c r="I70" s="617"/>
      <c r="J70" s="618"/>
      <c r="K70" s="616"/>
      <c r="L70" s="617"/>
      <c r="M70" s="618"/>
      <c r="N70" s="614">
        <f>IF('1. Demande'!AA77=0,"",'1. Demande'!AA77)</f>
      </c>
      <c r="O70" s="615"/>
      <c r="P70" s="619">
        <f>IF('1. Demande'!AE77=0,"",'1. Demande'!AE77)</f>
      </c>
      <c r="Q70" s="620"/>
      <c r="R70" s="597">
        <f>IF('1. Demande'!AJ77=0,"",'1. Demande'!AJ77)</f>
      </c>
      <c r="S70" s="598"/>
    </row>
    <row r="71" spans="2:19" ht="15.75" customHeight="1">
      <c r="B71" s="611"/>
      <c r="C71" s="612"/>
      <c r="D71" s="612"/>
      <c r="E71" s="613"/>
      <c r="F71" s="614">
        <f>IF('1. Demande'!J78=0,"",'1. Demande'!J78)</f>
      </c>
      <c r="G71" s="615"/>
      <c r="H71" s="616"/>
      <c r="I71" s="617"/>
      <c r="J71" s="618"/>
      <c r="K71" s="616"/>
      <c r="L71" s="617"/>
      <c r="M71" s="618"/>
      <c r="N71" s="614">
        <f>IF('1. Demande'!AA78=0,"",'1. Demande'!AA78)</f>
      </c>
      <c r="O71" s="615"/>
      <c r="P71" s="619">
        <f>IF('1. Demande'!AE78=0,"",'1. Demande'!AE78)</f>
      </c>
      <c r="Q71" s="620"/>
      <c r="R71" s="597">
        <f>IF('1. Demande'!AJ78=0,"",'1. Demande'!AJ78)</f>
      </c>
      <c r="S71" s="598"/>
    </row>
    <row r="72" spans="2:19" ht="15.75" customHeight="1" thickBot="1">
      <c r="B72" s="611"/>
      <c r="C72" s="612"/>
      <c r="D72" s="612"/>
      <c r="E72" s="613"/>
      <c r="F72" s="614">
        <f>IF('1. Demande'!J79=0,"",'1. Demande'!J79)</f>
      </c>
      <c r="G72" s="615"/>
      <c r="H72" s="616"/>
      <c r="I72" s="617"/>
      <c r="J72" s="618"/>
      <c r="K72" s="616"/>
      <c r="L72" s="617"/>
      <c r="M72" s="618"/>
      <c r="N72" s="614">
        <f>IF('1. Demande'!AA79=0,"",'1. Demande'!AA79)</f>
      </c>
      <c r="O72" s="615"/>
      <c r="P72" s="619">
        <f>IF('1. Demande'!AE79=0,"",'1. Demande'!AE79)</f>
      </c>
      <c r="Q72" s="620"/>
      <c r="R72" s="597">
        <f>IF('1. Demande'!AJ79=0,"",'1. Demande'!AJ79)</f>
      </c>
      <c r="S72" s="598"/>
    </row>
    <row r="73" spans="2:19" ht="19.5" customHeight="1" thickTop="1">
      <c r="B73" s="585" t="s">
        <v>520</v>
      </c>
      <c r="C73" s="586"/>
      <c r="D73" s="586"/>
      <c r="E73" s="586"/>
      <c r="F73" s="586"/>
      <c r="G73" s="587"/>
      <c r="H73" s="599"/>
      <c r="I73" s="600"/>
      <c r="J73" s="601"/>
      <c r="K73" s="602">
        <f>SUM(K69:M72)</f>
        <v>0</v>
      </c>
      <c r="L73" s="603"/>
      <c r="M73" s="604"/>
      <c r="N73" s="605">
        <f>SUM(N69:O72)</f>
        <v>0</v>
      </c>
      <c r="O73" s="606"/>
      <c r="P73" s="607">
        <f>SUM(P69:Q72)</f>
        <v>0</v>
      </c>
      <c r="Q73" s="608"/>
      <c r="R73" s="609">
        <f>IF(K73=0,"",N73/K73)</f>
      </c>
      <c r="S73" s="610"/>
    </row>
    <row r="74" ht="9.75" customHeight="1"/>
    <row r="75" spans="2:19" ht="16.5" customHeight="1">
      <c r="B75" s="653" t="s">
        <v>1085</v>
      </c>
      <c r="C75" s="654"/>
      <c r="D75" s="654"/>
      <c r="E75" s="654"/>
      <c r="F75" s="654"/>
      <c r="G75" s="654"/>
      <c r="H75" s="654"/>
      <c r="I75" s="654"/>
      <c r="J75" s="654"/>
      <c r="K75" s="654"/>
      <c r="L75" s="654"/>
      <c r="M75" s="654"/>
      <c r="N75" s="654"/>
      <c r="O75" s="654"/>
      <c r="P75" s="654"/>
      <c r="Q75" s="654"/>
      <c r="R75" s="654"/>
      <c r="S75" s="655"/>
    </row>
    <row r="76" spans="2:19" ht="15.75" customHeight="1">
      <c r="B76" s="588" t="s">
        <v>749</v>
      </c>
      <c r="C76" s="588"/>
      <c r="D76" s="588"/>
      <c r="E76" s="588"/>
      <c r="F76" s="588"/>
      <c r="G76" s="588"/>
      <c r="H76" s="588" t="s">
        <v>1084</v>
      </c>
      <c r="I76" s="588"/>
      <c r="J76" s="588"/>
      <c r="K76" s="588"/>
      <c r="L76" s="588"/>
      <c r="M76" s="588"/>
      <c r="N76" s="588" t="str">
        <f>"Quantité à remplacer"&amp;IF(H77="Choisir…",""," ("&amp;'1. Demande'!AA93&amp;")")</f>
        <v>Quantité à remplacer</v>
      </c>
      <c r="O76" s="588"/>
      <c r="P76" s="588"/>
      <c r="Q76" s="588"/>
      <c r="R76" s="588"/>
      <c r="S76" s="588"/>
    </row>
    <row r="77" spans="2:21" ht="15.75" customHeight="1">
      <c r="B77" s="589" t="s">
        <v>8</v>
      </c>
      <c r="C77" s="589"/>
      <c r="D77" s="589"/>
      <c r="E77" s="589"/>
      <c r="F77" s="589"/>
      <c r="G77" s="589"/>
      <c r="H77" s="593" t="s">
        <v>8</v>
      </c>
      <c r="I77" s="593"/>
      <c r="J77" s="593"/>
      <c r="K77" s="593"/>
      <c r="L77" s="593"/>
      <c r="M77" s="593"/>
      <c r="N77" s="663"/>
      <c r="O77" s="663"/>
      <c r="P77" s="663"/>
      <c r="Q77" s="663"/>
      <c r="R77" s="663"/>
      <c r="S77" s="663"/>
      <c r="U77" s="452"/>
    </row>
    <row r="78" spans="2:19" ht="15.75" customHeight="1">
      <c r="B78" s="588" t="s">
        <v>1083</v>
      </c>
      <c r="C78" s="588"/>
      <c r="D78" s="588"/>
      <c r="E78" s="588"/>
      <c r="F78" s="588"/>
      <c r="G78" s="588"/>
      <c r="H78" s="588"/>
      <c r="I78" s="590" t="s">
        <v>1082</v>
      </c>
      <c r="J78" s="591"/>
      <c r="K78" s="591"/>
      <c r="L78" s="591"/>
      <c r="M78" s="592"/>
      <c r="N78" s="590" t="s">
        <v>1081</v>
      </c>
      <c r="O78" s="591"/>
      <c r="P78" s="591"/>
      <c r="Q78" s="591"/>
      <c r="R78" s="591"/>
      <c r="S78" s="592"/>
    </row>
    <row r="79" spans="2:21" ht="15.75" customHeight="1">
      <c r="B79" s="666">
        <f>_xlfn.IFERROR(IF('1. Demande'!AE93=0,"",'1. Demande'!AE93),"")</f>
      </c>
      <c r="C79" s="666"/>
      <c r="D79" s="666"/>
      <c r="E79" s="666"/>
      <c r="F79" s="666"/>
      <c r="G79" s="666"/>
      <c r="H79" s="666"/>
      <c r="I79" s="594">
        <f>_xlfn.IFERROR(IF('1. Demande'!AJ93=0,"",'1. Demande'!AJ93),"")</f>
      </c>
      <c r="J79" s="595"/>
      <c r="K79" s="595"/>
      <c r="L79" s="595"/>
      <c r="M79" s="596"/>
      <c r="N79" s="594">
        <f>_xlfn.IFERROR(IF('1. Demande'!AN93=0,"",'1. Demande'!AN93),"")</f>
      </c>
      <c r="O79" s="595"/>
      <c r="P79" s="595"/>
      <c r="Q79" s="595"/>
      <c r="R79" s="595"/>
      <c r="S79" s="596"/>
      <c r="U79" s="452"/>
    </row>
    <row r="80" spans="2:19" ht="15.75" customHeight="1">
      <c r="B80" s="590" t="s">
        <v>186</v>
      </c>
      <c r="C80" s="591"/>
      <c r="D80" s="591"/>
      <c r="E80" s="592"/>
      <c r="F80" s="588" t="s">
        <v>741</v>
      </c>
      <c r="G80" s="588"/>
      <c r="H80" s="588"/>
      <c r="I80" s="588"/>
      <c r="J80" s="588"/>
      <c r="K80" s="588"/>
      <c r="L80" s="588"/>
      <c r="M80" s="588"/>
      <c r="N80" s="588"/>
      <c r="O80" s="588"/>
      <c r="P80" s="588"/>
      <c r="Q80" s="588"/>
      <c r="R80" s="588"/>
      <c r="S80" s="588"/>
    </row>
    <row r="81" spans="2:19" ht="15.75" customHeight="1">
      <c r="B81" s="664" t="s">
        <v>8</v>
      </c>
      <c r="C81" s="651"/>
      <c r="D81" s="651"/>
      <c r="E81" s="652"/>
      <c r="F81" s="656"/>
      <c r="G81" s="656"/>
      <c r="H81" s="656"/>
      <c r="I81" s="656"/>
      <c r="J81" s="656"/>
      <c r="K81" s="656"/>
      <c r="L81" s="656"/>
      <c r="M81" s="656"/>
      <c r="N81" s="656"/>
      <c r="O81" s="656"/>
      <c r="P81" s="656"/>
      <c r="Q81" s="656"/>
      <c r="R81" s="656"/>
      <c r="S81" s="656"/>
    </row>
    <row r="82" spans="2:21" ht="15.75" customHeight="1">
      <c r="B82" s="644" t="s">
        <v>1080</v>
      </c>
      <c r="C82" s="645"/>
      <c r="D82" s="645"/>
      <c r="E82" s="646"/>
      <c r="F82" s="591" t="s">
        <v>1079</v>
      </c>
      <c r="G82" s="591"/>
      <c r="H82" s="591"/>
      <c r="I82" s="591"/>
      <c r="J82" s="591"/>
      <c r="K82" s="591"/>
      <c r="L82" s="592"/>
      <c r="M82" s="590" t="s">
        <v>1078</v>
      </c>
      <c r="N82" s="591"/>
      <c r="O82" s="591"/>
      <c r="P82" s="591"/>
      <c r="Q82" s="591"/>
      <c r="R82" s="591"/>
      <c r="S82" s="592"/>
      <c r="U82" s="452"/>
    </row>
    <row r="83" spans="2:19" ht="15.75" customHeight="1">
      <c r="B83" s="647"/>
      <c r="C83" s="648"/>
      <c r="D83" s="648"/>
      <c r="E83" s="649"/>
      <c r="F83" s="650"/>
      <c r="G83" s="651"/>
      <c r="H83" s="651"/>
      <c r="I83" s="651"/>
      <c r="J83" s="651"/>
      <c r="K83" s="651"/>
      <c r="L83" s="652"/>
      <c r="M83" s="657"/>
      <c r="N83" s="651"/>
      <c r="O83" s="651"/>
      <c r="P83" s="651"/>
      <c r="Q83" s="651"/>
      <c r="R83" s="651"/>
      <c r="S83" s="652"/>
    </row>
    <row r="84" spans="2:21" ht="15.75" customHeight="1">
      <c r="B84" s="667" t="s">
        <v>564</v>
      </c>
      <c r="C84" s="668"/>
      <c r="D84" s="668"/>
      <c r="E84" s="668"/>
      <c r="F84" s="668"/>
      <c r="G84" s="668"/>
      <c r="H84" s="668"/>
      <c r="I84" s="668"/>
      <c r="J84" s="668"/>
      <c r="K84" s="668"/>
      <c r="L84" s="668"/>
      <c r="M84" s="668"/>
      <c r="N84" s="668"/>
      <c r="O84" s="668"/>
      <c r="P84" s="668"/>
      <c r="Q84" s="668"/>
      <c r="R84" s="668"/>
      <c r="S84" s="669"/>
      <c r="U84" s="452"/>
    </row>
    <row r="85" spans="2:41" ht="27.75" customHeight="1">
      <c r="B85" s="659"/>
      <c r="C85" s="660"/>
      <c r="D85" s="660"/>
      <c r="E85" s="660"/>
      <c r="F85" s="660"/>
      <c r="G85" s="660"/>
      <c r="H85" s="660"/>
      <c r="I85" s="660"/>
      <c r="J85" s="660"/>
      <c r="K85" s="660"/>
      <c r="L85" s="660"/>
      <c r="M85" s="660"/>
      <c r="N85" s="660"/>
      <c r="O85" s="660"/>
      <c r="P85" s="660"/>
      <c r="Q85" s="660"/>
      <c r="R85" s="660"/>
      <c r="S85" s="661"/>
      <c r="U85" s="452"/>
      <c r="AB85" s="453"/>
      <c r="AC85" s="453"/>
      <c r="AD85" s="453"/>
      <c r="AE85" s="453"/>
      <c r="AF85" s="453"/>
      <c r="AG85" s="453"/>
      <c r="AH85" s="453"/>
      <c r="AI85" s="453"/>
      <c r="AJ85" s="453"/>
      <c r="AK85" s="453"/>
      <c r="AL85" s="453"/>
      <c r="AM85" s="453"/>
      <c r="AN85" s="453"/>
      <c r="AO85" s="453"/>
    </row>
    <row r="86" ht="9.75" customHeight="1"/>
    <row r="87" spans="2:19" ht="16.5" customHeight="1">
      <c r="B87" s="662" t="s">
        <v>1077</v>
      </c>
      <c r="C87" s="662"/>
      <c r="D87" s="662"/>
      <c r="E87" s="662"/>
      <c r="F87" s="662"/>
      <c r="G87" s="662"/>
      <c r="H87" s="662"/>
      <c r="I87" s="662"/>
      <c r="J87" s="662"/>
      <c r="K87" s="662"/>
      <c r="L87" s="662"/>
      <c r="M87" s="662"/>
      <c r="N87" s="662"/>
      <c r="O87" s="662"/>
      <c r="P87" s="662"/>
      <c r="Q87" s="662"/>
      <c r="R87" s="662"/>
      <c r="S87" s="662"/>
    </row>
    <row r="88" spans="2:19" ht="19.5" customHeight="1">
      <c r="B88" s="658" t="s">
        <v>1116</v>
      </c>
      <c r="C88" s="658"/>
      <c r="D88" s="658"/>
      <c r="E88" s="658"/>
      <c r="F88" s="658"/>
      <c r="G88" s="658"/>
      <c r="H88" s="658"/>
      <c r="I88" s="658"/>
      <c r="J88" s="658"/>
      <c r="K88" s="658"/>
      <c r="L88" s="658"/>
      <c r="M88" s="658"/>
      <c r="N88" s="658"/>
      <c r="O88" s="658"/>
      <c r="P88" s="658"/>
      <c r="Q88" s="658"/>
      <c r="R88" s="658"/>
      <c r="S88" s="658"/>
    </row>
    <row r="89" spans="2:21" ht="15.75" customHeight="1">
      <c r="B89" s="691" t="s">
        <v>20</v>
      </c>
      <c r="C89" s="691"/>
      <c r="D89" s="691"/>
      <c r="E89" s="691"/>
      <c r="F89" s="691"/>
      <c r="G89" s="691"/>
      <c r="H89" s="691"/>
      <c r="I89" s="691"/>
      <c r="J89" s="691"/>
      <c r="K89" s="702" t="s">
        <v>565</v>
      </c>
      <c r="L89" s="702"/>
      <c r="M89" s="702"/>
      <c r="N89" s="702"/>
      <c r="O89" s="702"/>
      <c r="P89" s="702"/>
      <c r="Q89" s="702"/>
      <c r="R89" s="702"/>
      <c r="S89" s="702"/>
      <c r="U89" s="452"/>
    </row>
    <row r="90" spans="2:19" ht="15.75" customHeight="1">
      <c r="B90" s="691"/>
      <c r="C90" s="691"/>
      <c r="D90" s="691"/>
      <c r="E90" s="691"/>
      <c r="F90" s="691"/>
      <c r="G90" s="691"/>
      <c r="H90" s="691"/>
      <c r="I90" s="691"/>
      <c r="J90" s="691"/>
      <c r="K90" s="724" t="s">
        <v>522</v>
      </c>
      <c r="L90" s="724"/>
      <c r="M90" s="724"/>
      <c r="N90" s="724" t="s">
        <v>523</v>
      </c>
      <c r="O90" s="724"/>
      <c r="P90" s="724"/>
      <c r="Q90" s="672" t="s">
        <v>520</v>
      </c>
      <c r="R90" s="672"/>
      <c r="S90" s="672"/>
    </row>
    <row r="91" spans="2:19" ht="15.75" customHeight="1">
      <c r="B91" s="671" t="s">
        <v>1076</v>
      </c>
      <c r="C91" s="671"/>
      <c r="D91" s="671"/>
      <c r="E91" s="671"/>
      <c r="F91" s="671"/>
      <c r="G91" s="671"/>
      <c r="H91" s="671"/>
      <c r="I91" s="671"/>
      <c r="J91" s="671"/>
      <c r="K91" s="673">
        <f>'Rapport détaillé des coûts'!F20</f>
        <v>0</v>
      </c>
      <c r="L91" s="673"/>
      <c r="M91" s="673"/>
      <c r="N91" s="673">
        <f>'Rapport détaillé des coûts'!G20</f>
        <v>0</v>
      </c>
      <c r="O91" s="673"/>
      <c r="P91" s="673"/>
      <c r="Q91" s="673">
        <f>K91+N91</f>
        <v>0</v>
      </c>
      <c r="R91" s="673"/>
      <c r="S91" s="673"/>
    </row>
    <row r="92" spans="2:19" ht="15.75" customHeight="1">
      <c r="B92" s="671" t="s">
        <v>1075</v>
      </c>
      <c r="C92" s="671"/>
      <c r="D92" s="671"/>
      <c r="E92" s="671"/>
      <c r="F92" s="671"/>
      <c r="G92" s="671"/>
      <c r="H92" s="671"/>
      <c r="I92" s="671"/>
      <c r="J92" s="671"/>
      <c r="K92" s="673">
        <f>'Rapport détaillé des coûts'!F31</f>
        <v>0</v>
      </c>
      <c r="L92" s="673"/>
      <c r="M92" s="673"/>
      <c r="N92" s="673">
        <f>'Rapport détaillé des coûts'!G31</f>
        <v>0</v>
      </c>
      <c r="O92" s="673"/>
      <c r="P92" s="673"/>
      <c r="Q92" s="673">
        <f>K92+N92</f>
        <v>0</v>
      </c>
      <c r="R92" s="673"/>
      <c r="S92" s="673"/>
    </row>
    <row r="93" spans="2:19" ht="15.75" customHeight="1">
      <c r="B93" s="671" t="s">
        <v>1074</v>
      </c>
      <c r="C93" s="671"/>
      <c r="D93" s="671"/>
      <c r="E93" s="671"/>
      <c r="F93" s="671"/>
      <c r="G93" s="671"/>
      <c r="H93" s="671"/>
      <c r="I93" s="671"/>
      <c r="J93" s="671"/>
      <c r="K93" s="673">
        <f>'Rapport détaillé des coûts'!F38</f>
        <v>0</v>
      </c>
      <c r="L93" s="673"/>
      <c r="M93" s="673"/>
      <c r="N93" s="673">
        <f>'Rapport détaillé des coûts'!G38</f>
        <v>0</v>
      </c>
      <c r="O93" s="673"/>
      <c r="P93" s="673"/>
      <c r="Q93" s="673">
        <f>K93+N93</f>
        <v>0</v>
      </c>
      <c r="R93" s="673"/>
      <c r="S93" s="673"/>
    </row>
    <row r="94" spans="2:19" ht="15.75" customHeight="1">
      <c r="B94" s="671" t="s">
        <v>1073</v>
      </c>
      <c r="C94" s="671"/>
      <c r="D94" s="671"/>
      <c r="E94" s="671"/>
      <c r="F94" s="671"/>
      <c r="G94" s="671"/>
      <c r="H94" s="671"/>
      <c r="I94" s="671"/>
      <c r="J94" s="671"/>
      <c r="K94" s="673">
        <f>'Rapport détaillé des coûts'!F45</f>
        <v>0</v>
      </c>
      <c r="L94" s="673"/>
      <c r="M94" s="673"/>
      <c r="N94" s="673">
        <f>'Rapport détaillé des coûts'!G45</f>
        <v>0</v>
      </c>
      <c r="O94" s="673"/>
      <c r="P94" s="673"/>
      <c r="Q94" s="673">
        <f>K94+N94</f>
        <v>0</v>
      </c>
      <c r="R94" s="673"/>
      <c r="S94" s="673"/>
    </row>
    <row r="95" spans="2:19" ht="15.75" customHeight="1">
      <c r="B95" s="672" t="s">
        <v>1072</v>
      </c>
      <c r="C95" s="672"/>
      <c r="D95" s="672"/>
      <c r="E95" s="672"/>
      <c r="F95" s="672"/>
      <c r="G95" s="672"/>
      <c r="H95" s="672"/>
      <c r="I95" s="672"/>
      <c r="J95" s="672"/>
      <c r="K95" s="670">
        <f>'Rapport détaillé des coûts'!F46</f>
        <v>0</v>
      </c>
      <c r="L95" s="670"/>
      <c r="M95" s="670"/>
      <c r="N95" s="670">
        <f>'Rapport détaillé des coûts'!G46</f>
        <v>0</v>
      </c>
      <c r="O95" s="670"/>
      <c r="P95" s="670"/>
      <c r="Q95" s="673">
        <f>K95+N95</f>
        <v>0</v>
      </c>
      <c r="R95" s="673"/>
      <c r="S95" s="673"/>
    </row>
    <row r="96" ht="9.75" customHeight="1"/>
    <row r="97" spans="2:19" ht="16.5" customHeight="1">
      <c r="B97" s="662" t="s">
        <v>1071</v>
      </c>
      <c r="C97" s="662"/>
      <c r="D97" s="662"/>
      <c r="E97" s="662"/>
      <c r="F97" s="662"/>
      <c r="G97" s="662"/>
      <c r="H97" s="662"/>
      <c r="I97" s="662"/>
      <c r="J97" s="662"/>
      <c r="K97" s="662"/>
      <c r="L97" s="662"/>
      <c r="M97" s="662"/>
      <c r="N97" s="662"/>
      <c r="O97" s="662"/>
      <c r="P97" s="662"/>
      <c r="Q97" s="662"/>
      <c r="R97" s="662"/>
      <c r="S97" s="662"/>
    </row>
    <row r="98" spans="2:19" ht="19.5" customHeight="1">
      <c r="B98" s="700" t="s">
        <v>1070</v>
      </c>
      <c r="C98" s="701"/>
      <c r="D98" s="701"/>
      <c r="E98" s="701"/>
      <c r="F98" s="701"/>
      <c r="G98" s="701"/>
      <c r="H98" s="701"/>
      <c r="I98" s="701"/>
      <c r="J98" s="701"/>
      <c r="K98" s="701"/>
      <c r="L98" s="701"/>
      <c r="M98" s="701"/>
      <c r="N98" s="701"/>
      <c r="O98" s="701"/>
      <c r="P98" s="701"/>
      <c r="Q98" s="701"/>
      <c r="R98" s="701"/>
      <c r="S98" s="701"/>
    </row>
    <row r="99" spans="2:19" ht="15.75" customHeight="1">
      <c r="B99" s="691" t="s">
        <v>28</v>
      </c>
      <c r="C99" s="691"/>
      <c r="D99" s="691"/>
      <c r="E99" s="691"/>
      <c r="F99" s="691"/>
      <c r="G99" s="691"/>
      <c r="H99" s="691"/>
      <c r="I99" s="691"/>
      <c r="J99" s="702" t="s">
        <v>30</v>
      </c>
      <c r="K99" s="702"/>
      <c r="L99" s="702"/>
      <c r="M99" s="702"/>
      <c r="N99" s="702" t="s">
        <v>31</v>
      </c>
      <c r="O99" s="702"/>
      <c r="P99" s="702"/>
      <c r="Q99" s="702" t="s">
        <v>32</v>
      </c>
      <c r="R99" s="702"/>
      <c r="S99" s="702"/>
    </row>
    <row r="100" spans="2:21" ht="22.5" customHeight="1">
      <c r="B100" s="540" t="s">
        <v>1069</v>
      </c>
      <c r="C100" s="540"/>
      <c r="D100" s="703" t="s">
        <v>1053</v>
      </c>
      <c r="E100" s="703"/>
      <c r="F100" s="703"/>
      <c r="G100" s="703"/>
      <c r="H100" s="703"/>
      <c r="I100" s="703"/>
      <c r="J100" s="692" t="s">
        <v>33</v>
      </c>
      <c r="K100" s="692"/>
      <c r="L100" s="692"/>
      <c r="M100" s="692"/>
      <c r="N100" s="704">
        <f>IF(N79="",0,N79)</f>
        <v>0</v>
      </c>
      <c r="O100" s="705"/>
      <c r="P100" s="706"/>
      <c r="Q100" s="710">
        <f>IF(N100=0,0,N100/$N$104)</f>
        <v>0</v>
      </c>
      <c r="R100" s="710"/>
      <c r="S100" s="710"/>
      <c r="U100" s="452"/>
    </row>
    <row r="101" spans="2:19" ht="15.75" customHeight="1">
      <c r="B101" s="540" t="s">
        <v>1129</v>
      </c>
      <c r="C101" s="540"/>
      <c r="D101" s="703">
        <f>IF(B7=0,"",B7)</f>
      </c>
      <c r="E101" s="703"/>
      <c r="F101" s="703"/>
      <c r="G101" s="703"/>
      <c r="H101" s="703"/>
      <c r="I101" s="703"/>
      <c r="J101" s="692" t="s">
        <v>120</v>
      </c>
      <c r="K101" s="692"/>
      <c r="L101" s="692"/>
      <c r="M101" s="692"/>
      <c r="N101" s="704">
        <f>Q95-N100-N102-N103</f>
        <v>0</v>
      </c>
      <c r="O101" s="705"/>
      <c r="P101" s="706"/>
      <c r="Q101" s="710">
        <f>IF(N101=0,0,N101/$N$104)</f>
        <v>0</v>
      </c>
      <c r="R101" s="710"/>
      <c r="S101" s="710"/>
    </row>
    <row r="102" spans="2:21" ht="15.75" customHeight="1">
      <c r="B102" s="715" t="s">
        <v>8</v>
      </c>
      <c r="C102" s="715"/>
      <c r="D102" s="718">
        <f>IF(B102="Choisir…","",VLOOKUP(B102,Data!$B$63:$D$98,3,FALSE))</f>
      </c>
      <c r="E102" s="718"/>
      <c r="F102" s="718"/>
      <c r="G102" s="718"/>
      <c r="H102" s="718"/>
      <c r="I102" s="718"/>
      <c r="J102" s="611" t="s">
        <v>8</v>
      </c>
      <c r="K102" s="612"/>
      <c r="L102" s="612"/>
      <c r="M102" s="613"/>
      <c r="N102" s="707">
        <v>0</v>
      </c>
      <c r="O102" s="708"/>
      <c r="P102" s="709"/>
      <c r="Q102" s="711">
        <f>IF(N102=0,0,N102/$N$104)</f>
        <v>0</v>
      </c>
      <c r="R102" s="711"/>
      <c r="S102" s="711"/>
      <c r="U102" s="452"/>
    </row>
    <row r="103" spans="2:19" ht="15.75" customHeight="1">
      <c r="B103" s="715" t="s">
        <v>8</v>
      </c>
      <c r="C103" s="715"/>
      <c r="D103" s="718">
        <f>IF(B103="Choisir…","",VLOOKUP(B103,Data!$B$63:$D$98,3,FALSE))</f>
      </c>
      <c r="E103" s="718"/>
      <c r="F103" s="718"/>
      <c r="G103" s="718"/>
      <c r="H103" s="718"/>
      <c r="I103" s="718"/>
      <c r="J103" s="611" t="s">
        <v>8</v>
      </c>
      <c r="K103" s="612"/>
      <c r="L103" s="612"/>
      <c r="M103" s="613"/>
      <c r="N103" s="707">
        <v>0</v>
      </c>
      <c r="O103" s="708"/>
      <c r="P103" s="709"/>
      <c r="Q103" s="711">
        <f>IF(N103=0,0,N103/$N$104)</f>
        <v>0</v>
      </c>
      <c r="R103" s="711"/>
      <c r="S103" s="711"/>
    </row>
    <row r="104" spans="2:19" ht="15.75" customHeight="1">
      <c r="B104" s="725" t="s">
        <v>1068</v>
      </c>
      <c r="C104" s="726"/>
      <c r="D104" s="726"/>
      <c r="E104" s="726"/>
      <c r="F104" s="726"/>
      <c r="G104" s="726"/>
      <c r="H104" s="726"/>
      <c r="I104" s="726"/>
      <c r="J104" s="726"/>
      <c r="K104" s="726"/>
      <c r="L104" s="726"/>
      <c r="M104" s="727"/>
      <c r="N104" s="728">
        <f>SUM(N100:P103)</f>
        <v>0</v>
      </c>
      <c r="O104" s="729"/>
      <c r="P104" s="730"/>
      <c r="Q104" s="712">
        <f>SUM(Q100:S103)</f>
        <v>0</v>
      </c>
      <c r="R104" s="713"/>
      <c r="S104" s="714"/>
    </row>
    <row r="105" ht="9.75" customHeight="1"/>
    <row r="106" spans="2:19" ht="16.5" customHeight="1">
      <c r="B106" s="674" t="s">
        <v>1067</v>
      </c>
      <c r="C106" s="675"/>
      <c r="D106" s="675"/>
      <c r="E106" s="675"/>
      <c r="F106" s="675"/>
      <c r="G106" s="675"/>
      <c r="H106" s="675"/>
      <c r="I106" s="675"/>
      <c r="J106" s="675"/>
      <c r="K106" s="675"/>
      <c r="L106" s="675"/>
      <c r="M106" s="675"/>
      <c r="N106" s="675"/>
      <c r="O106" s="675"/>
      <c r="P106" s="675"/>
      <c r="Q106" s="675"/>
      <c r="R106" s="675"/>
      <c r="S106" s="676"/>
    </row>
    <row r="107" spans="2:19" ht="57" customHeight="1">
      <c r="B107" s="678" t="s">
        <v>1130</v>
      </c>
      <c r="C107" s="679"/>
      <c r="D107" s="680"/>
      <c r="E107" s="680"/>
      <c r="F107" s="680"/>
      <c r="G107" s="680"/>
      <c r="H107" s="680"/>
      <c r="I107" s="680"/>
      <c r="J107" s="680"/>
      <c r="K107" s="680"/>
      <c r="L107" s="680"/>
      <c r="M107" s="680"/>
      <c r="N107" s="680"/>
      <c r="O107" s="680"/>
      <c r="P107" s="680"/>
      <c r="Q107" s="680"/>
      <c r="R107" s="680"/>
      <c r="S107" s="681"/>
    </row>
    <row r="108" spans="2:19" ht="19.5" customHeight="1">
      <c r="B108" s="684" t="s">
        <v>1066</v>
      </c>
      <c r="C108" s="685"/>
      <c r="D108" s="686"/>
      <c r="E108" s="686"/>
      <c r="F108" s="686"/>
      <c r="G108" s="686"/>
      <c r="H108" s="686"/>
      <c r="I108" s="686"/>
      <c r="J108" s="686"/>
      <c r="K108" s="686"/>
      <c r="L108" s="686"/>
      <c r="M108" s="686"/>
      <c r="N108" s="686"/>
      <c r="O108" s="686"/>
      <c r="P108" s="686"/>
      <c r="Q108" s="686"/>
      <c r="R108" s="686"/>
      <c r="S108" s="687"/>
    </row>
    <row r="109" spans="2:19" ht="24" customHeight="1" thickBot="1">
      <c r="B109" s="688" t="s">
        <v>1065</v>
      </c>
      <c r="C109" s="689"/>
      <c r="D109" s="689"/>
      <c r="E109" s="689"/>
      <c r="F109" s="689"/>
      <c r="G109" s="689"/>
      <c r="H109" s="689"/>
      <c r="I109" s="689"/>
      <c r="J109" s="689"/>
      <c r="K109" s="689"/>
      <c r="L109" s="689"/>
      <c r="M109" s="689"/>
      <c r="N109" s="689"/>
      <c r="O109" s="689"/>
      <c r="P109" s="689"/>
      <c r="Q109" s="689"/>
      <c r="R109" s="689"/>
      <c r="S109" s="690"/>
    </row>
    <row r="110" spans="2:19" ht="15.75" customHeight="1" thickTop="1">
      <c r="B110" s="716" t="s">
        <v>1064</v>
      </c>
      <c r="C110" s="717"/>
      <c r="D110" s="717"/>
      <c r="E110" s="717"/>
      <c r="F110" s="717"/>
      <c r="G110" s="717"/>
      <c r="H110" s="719"/>
      <c r="I110" s="719"/>
      <c r="J110" s="719"/>
      <c r="K110" s="719"/>
      <c r="L110" s="719"/>
      <c r="M110" s="719"/>
      <c r="N110" s="720"/>
      <c r="O110" s="683" t="s">
        <v>1063</v>
      </c>
      <c r="P110" s="683"/>
      <c r="Q110" s="683"/>
      <c r="R110" s="683"/>
      <c r="S110" s="683"/>
    </row>
    <row r="111" spans="2:19" ht="15.75" customHeight="1">
      <c r="B111" s="721"/>
      <c r="C111" s="722"/>
      <c r="D111" s="722"/>
      <c r="E111" s="722"/>
      <c r="F111" s="722"/>
      <c r="G111" s="722"/>
      <c r="H111" s="722"/>
      <c r="I111" s="722"/>
      <c r="J111" s="722"/>
      <c r="K111" s="722"/>
      <c r="L111" s="722"/>
      <c r="M111" s="722"/>
      <c r="N111" s="723"/>
      <c r="O111" s="682"/>
      <c r="P111" s="589"/>
      <c r="Q111" s="589"/>
      <c r="R111" s="589"/>
      <c r="S111" s="589"/>
    </row>
    <row r="112" ht="9.75" customHeight="1"/>
    <row r="113" spans="2:19" ht="16.5" customHeight="1">
      <c r="B113" s="674" t="s">
        <v>1062</v>
      </c>
      <c r="C113" s="675"/>
      <c r="D113" s="675"/>
      <c r="E113" s="675"/>
      <c r="F113" s="675"/>
      <c r="G113" s="675"/>
      <c r="H113" s="675"/>
      <c r="I113" s="675"/>
      <c r="J113" s="675"/>
      <c r="K113" s="675"/>
      <c r="L113" s="675"/>
      <c r="M113" s="675"/>
      <c r="N113" s="675"/>
      <c r="O113" s="675"/>
      <c r="P113" s="675"/>
      <c r="Q113" s="675"/>
      <c r="R113" s="675"/>
      <c r="S113" s="676"/>
    </row>
    <row r="114" spans="2:19" ht="15.75" customHeight="1">
      <c r="B114" s="694" t="s">
        <v>1061</v>
      </c>
      <c r="C114" s="695"/>
      <c r="D114" s="695"/>
      <c r="E114" s="695"/>
      <c r="F114" s="695"/>
      <c r="G114" s="695"/>
      <c r="H114" s="695"/>
      <c r="I114" s="695"/>
      <c r="J114" s="695"/>
      <c r="K114" s="695"/>
      <c r="L114" s="695"/>
      <c r="M114" s="695"/>
      <c r="N114" s="695"/>
      <c r="O114" s="695"/>
      <c r="P114" s="695"/>
      <c r="Q114" s="695"/>
      <c r="R114" s="695"/>
      <c r="S114" s="696"/>
    </row>
    <row r="115" spans="2:19" ht="15.75" customHeight="1">
      <c r="B115" s="697" t="s">
        <v>1060</v>
      </c>
      <c r="C115" s="698"/>
      <c r="D115" s="698"/>
      <c r="E115" s="698"/>
      <c r="F115" s="698"/>
      <c r="G115" s="698"/>
      <c r="H115" s="698"/>
      <c r="I115" s="698"/>
      <c r="J115" s="698"/>
      <c r="K115" s="698"/>
      <c r="L115" s="698"/>
      <c r="M115" s="698"/>
      <c r="N115" s="698"/>
      <c r="O115" s="698"/>
      <c r="P115" s="698"/>
      <c r="Q115" s="698"/>
      <c r="R115" s="698"/>
      <c r="S115" s="699"/>
    </row>
    <row r="116" spans="2:19" ht="15.75" customHeight="1">
      <c r="B116" s="697" t="s">
        <v>1059</v>
      </c>
      <c r="C116" s="698"/>
      <c r="D116" s="698"/>
      <c r="E116" s="698"/>
      <c r="F116" s="698"/>
      <c r="G116" s="698"/>
      <c r="H116" s="698"/>
      <c r="I116" s="698"/>
      <c r="J116" s="698"/>
      <c r="K116" s="698"/>
      <c r="L116" s="698"/>
      <c r="M116" s="698"/>
      <c r="N116" s="698"/>
      <c r="O116" s="698"/>
      <c r="P116" s="698"/>
      <c r="Q116" s="698"/>
      <c r="R116" s="698"/>
      <c r="S116" s="699"/>
    </row>
    <row r="117" spans="2:19" ht="15.75" customHeight="1">
      <c r="B117" s="581" t="s">
        <v>1058</v>
      </c>
      <c r="C117" s="582"/>
      <c r="D117" s="582"/>
      <c r="E117" s="582"/>
      <c r="F117" s="582"/>
      <c r="G117" s="582"/>
      <c r="H117" s="582"/>
      <c r="I117" s="582"/>
      <c r="J117" s="582"/>
      <c r="K117" s="582"/>
      <c r="L117" s="582"/>
      <c r="M117" s="582"/>
      <c r="N117" s="582"/>
      <c r="O117" s="582"/>
      <c r="P117" s="582"/>
      <c r="Q117" s="582"/>
      <c r="R117" s="582"/>
      <c r="S117" s="583"/>
    </row>
    <row r="120" spans="2:19" ht="15.75" customHeight="1">
      <c r="B120" s="441" t="s">
        <v>1053</v>
      </c>
      <c r="C120" s="441"/>
      <c r="R120" s="584">
        <f>Instructions!J46</f>
        <v>45364</v>
      </c>
      <c r="S120" s="584"/>
    </row>
    <row r="121" spans="2:19" ht="6" customHeight="1">
      <c r="B121" s="693"/>
      <c r="C121" s="693"/>
      <c r="D121" s="693"/>
      <c r="E121" s="693"/>
      <c r="F121" s="693"/>
      <c r="G121" s="693"/>
      <c r="H121" s="693"/>
      <c r="I121" s="693"/>
      <c r="J121" s="693"/>
      <c r="K121" s="693"/>
      <c r="L121" s="693"/>
      <c r="M121" s="693"/>
      <c r="N121" s="693"/>
      <c r="O121" s="693"/>
      <c r="P121" s="693"/>
      <c r="Q121" s="693"/>
      <c r="R121" s="693"/>
      <c r="S121" s="693"/>
    </row>
  </sheetData>
  <sheetProtection password="E71A" sheet="1" objects="1"/>
  <mergeCells count="263">
    <mergeCell ref="B111:N111"/>
    <mergeCell ref="Q90:S90"/>
    <mergeCell ref="N90:P90"/>
    <mergeCell ref="K90:M90"/>
    <mergeCell ref="K89:S89"/>
    <mergeCell ref="B89:J90"/>
    <mergeCell ref="Q91:S91"/>
    <mergeCell ref="N91:P91"/>
    <mergeCell ref="B104:M104"/>
    <mergeCell ref="N104:P104"/>
    <mergeCell ref="Q104:S104"/>
    <mergeCell ref="B103:C103"/>
    <mergeCell ref="B110:G110"/>
    <mergeCell ref="D103:I103"/>
    <mergeCell ref="H110:N110"/>
    <mergeCell ref="D102:I102"/>
    <mergeCell ref="J102:M102"/>
    <mergeCell ref="N102:P102"/>
    <mergeCell ref="Q102:S102"/>
    <mergeCell ref="B102:C102"/>
    <mergeCell ref="D101:I101"/>
    <mergeCell ref="N100:P100"/>
    <mergeCell ref="N103:P103"/>
    <mergeCell ref="Q100:S100"/>
    <mergeCell ref="Q103:S103"/>
    <mergeCell ref="J101:M101"/>
    <mergeCell ref="N101:P101"/>
    <mergeCell ref="Q101:S101"/>
    <mergeCell ref="D100:I100"/>
    <mergeCell ref="B121:S121"/>
    <mergeCell ref="B113:S113"/>
    <mergeCell ref="B114:S114"/>
    <mergeCell ref="B115:S115"/>
    <mergeCell ref="B116:S116"/>
    <mergeCell ref="B97:S97"/>
    <mergeCell ref="B98:S98"/>
    <mergeCell ref="Q99:S99"/>
    <mergeCell ref="N99:P99"/>
    <mergeCell ref="J99:M99"/>
    <mergeCell ref="Q45:S45"/>
    <mergeCell ref="O111:S111"/>
    <mergeCell ref="O110:S110"/>
    <mergeCell ref="B108:S108"/>
    <mergeCell ref="B109:S109"/>
    <mergeCell ref="B106:S106"/>
    <mergeCell ref="B99:I99"/>
    <mergeCell ref="J100:M100"/>
    <mergeCell ref="J103:M103"/>
    <mergeCell ref="N93:P93"/>
    <mergeCell ref="B37:O37"/>
    <mergeCell ref="P37:S37"/>
    <mergeCell ref="B38:O38"/>
    <mergeCell ref="P38:S38"/>
    <mergeCell ref="B3:S3"/>
    <mergeCell ref="B107:S107"/>
    <mergeCell ref="B65:S65"/>
    <mergeCell ref="B40:S40"/>
    <mergeCell ref="B84:S84"/>
    <mergeCell ref="B5:S5"/>
    <mergeCell ref="B12:S12"/>
    <mergeCell ref="B13:S13"/>
    <mergeCell ref="P31:S31"/>
    <mergeCell ref="B32:G32"/>
    <mergeCell ref="B16:C16"/>
    <mergeCell ref="L16:S16"/>
    <mergeCell ref="L17:S17"/>
    <mergeCell ref="L30:S30"/>
    <mergeCell ref="B18:G18"/>
    <mergeCell ref="H18:O18"/>
    <mergeCell ref="Q33:S33"/>
    <mergeCell ref="B34:K34"/>
    <mergeCell ref="L34:N34"/>
    <mergeCell ref="O34:P34"/>
    <mergeCell ref="Q34:S34"/>
    <mergeCell ref="H19:O19"/>
    <mergeCell ref="B29:C29"/>
    <mergeCell ref="Q20:S20"/>
    <mergeCell ref="Q21:S21"/>
    <mergeCell ref="B20:K20"/>
    <mergeCell ref="B1:S1"/>
    <mergeCell ref="B15:S15"/>
    <mergeCell ref="B27:S27"/>
    <mergeCell ref="B55:S55"/>
    <mergeCell ref="B11:O11"/>
    <mergeCell ref="D16:K16"/>
    <mergeCell ref="B28:S28"/>
    <mergeCell ref="H32:O32"/>
    <mergeCell ref="P32:S32"/>
    <mergeCell ref="B33:K33"/>
    <mergeCell ref="K91:M91"/>
    <mergeCell ref="K92:M92"/>
    <mergeCell ref="K93:M93"/>
    <mergeCell ref="K94:M94"/>
    <mergeCell ref="B91:J91"/>
    <mergeCell ref="B92:J92"/>
    <mergeCell ref="B93:J93"/>
    <mergeCell ref="K95:M95"/>
    <mergeCell ref="B94:J94"/>
    <mergeCell ref="B95:J95"/>
    <mergeCell ref="N92:P92"/>
    <mergeCell ref="Q92:S92"/>
    <mergeCell ref="N94:P94"/>
    <mergeCell ref="Q94:S94"/>
    <mergeCell ref="N95:P95"/>
    <mergeCell ref="Q95:S95"/>
    <mergeCell ref="Q93:S93"/>
    <mergeCell ref="B50:O50"/>
    <mergeCell ref="P50:S50"/>
    <mergeCell ref="B62:J62"/>
    <mergeCell ref="B79:H79"/>
    <mergeCell ref="B61:S61"/>
    <mergeCell ref="K62:S62"/>
    <mergeCell ref="K63:S63"/>
    <mergeCell ref="B58:K58"/>
    <mergeCell ref="B52:S52"/>
    <mergeCell ref="H59:O59"/>
    <mergeCell ref="B43:G43"/>
    <mergeCell ref="H43:O43"/>
    <mergeCell ref="P43:S43"/>
    <mergeCell ref="B35:S35"/>
    <mergeCell ref="B36:S36"/>
    <mergeCell ref="B30:C30"/>
    <mergeCell ref="B31:G31"/>
    <mergeCell ref="H31:O31"/>
    <mergeCell ref="L33:N33"/>
    <mergeCell ref="O33:P33"/>
    <mergeCell ref="B44:G44"/>
    <mergeCell ref="H44:O44"/>
    <mergeCell ref="P44:S44"/>
    <mergeCell ref="O20:P20"/>
    <mergeCell ref="B63:J63"/>
    <mergeCell ref="D30:K30"/>
    <mergeCell ref="L46:N46"/>
    <mergeCell ref="O46:P46"/>
    <mergeCell ref="Q46:S46"/>
    <mergeCell ref="O21:P21"/>
    <mergeCell ref="P6:S6"/>
    <mergeCell ref="P7:S7"/>
    <mergeCell ref="B6:O6"/>
    <mergeCell ref="B7:O7"/>
    <mergeCell ref="B10:O10"/>
    <mergeCell ref="P18:S18"/>
    <mergeCell ref="B17:C17"/>
    <mergeCell ref="B8:S8"/>
    <mergeCell ref="D17:K17"/>
    <mergeCell ref="B9:S9"/>
    <mergeCell ref="B19:G19"/>
    <mergeCell ref="P10:S10"/>
    <mergeCell ref="P11:S11"/>
    <mergeCell ref="D29:K29"/>
    <mergeCell ref="L29:S29"/>
    <mergeCell ref="P19:S19"/>
    <mergeCell ref="B22:S22"/>
    <mergeCell ref="B21:K21"/>
    <mergeCell ref="L20:N20"/>
    <mergeCell ref="L21:N21"/>
    <mergeCell ref="B23:S23"/>
    <mergeCell ref="P24:S24"/>
    <mergeCell ref="P25:S25"/>
    <mergeCell ref="B24:O24"/>
    <mergeCell ref="B25:O25"/>
    <mergeCell ref="K66:S66"/>
    <mergeCell ref="L42:S42"/>
    <mergeCell ref="B46:K46"/>
    <mergeCell ref="B49:O49"/>
    <mergeCell ref="P49:S49"/>
    <mergeCell ref="B57:K57"/>
    <mergeCell ref="B47:S47"/>
    <mergeCell ref="B88:S88"/>
    <mergeCell ref="B85:S85"/>
    <mergeCell ref="B87:S87"/>
    <mergeCell ref="I79:M79"/>
    <mergeCell ref="N76:S76"/>
    <mergeCell ref="N77:S77"/>
    <mergeCell ref="B80:E80"/>
    <mergeCell ref="B81:E81"/>
    <mergeCell ref="F81:S81"/>
    <mergeCell ref="M83:S83"/>
    <mergeCell ref="B41:C41"/>
    <mergeCell ref="D41:K41"/>
    <mergeCell ref="L41:S41"/>
    <mergeCell ref="B42:C42"/>
    <mergeCell ref="D42:K42"/>
    <mergeCell ref="F80:S80"/>
    <mergeCell ref="B45:K45"/>
    <mergeCell ref="L45:N45"/>
    <mergeCell ref="O45:P45"/>
    <mergeCell ref="B56:S56"/>
    <mergeCell ref="P59:S59"/>
    <mergeCell ref="B59:E59"/>
    <mergeCell ref="B82:E83"/>
    <mergeCell ref="F82:L82"/>
    <mergeCell ref="F83:L83"/>
    <mergeCell ref="M82:S82"/>
    <mergeCell ref="B78:H78"/>
    <mergeCell ref="B75:S75"/>
    <mergeCell ref="L57:N57"/>
    <mergeCell ref="L58:N58"/>
    <mergeCell ref="O57:S57"/>
    <mergeCell ref="O58:S58"/>
    <mergeCell ref="H60:O60"/>
    <mergeCell ref="B48:S48"/>
    <mergeCell ref="P53:S53"/>
    <mergeCell ref="P54:S54"/>
    <mergeCell ref="B53:O53"/>
    <mergeCell ref="B54:O54"/>
    <mergeCell ref="B60:E60"/>
    <mergeCell ref="F59:G59"/>
    <mergeCell ref="F60:G60"/>
    <mergeCell ref="N68:O68"/>
    <mergeCell ref="B66:J66"/>
    <mergeCell ref="B68:E68"/>
    <mergeCell ref="F68:G68"/>
    <mergeCell ref="K67:S67"/>
    <mergeCell ref="B67:J67"/>
    <mergeCell ref="P60:S60"/>
    <mergeCell ref="R69:S69"/>
    <mergeCell ref="P69:Q69"/>
    <mergeCell ref="P68:Q68"/>
    <mergeCell ref="K68:M68"/>
    <mergeCell ref="H68:J68"/>
    <mergeCell ref="H69:J69"/>
    <mergeCell ref="R68:S68"/>
    <mergeCell ref="H70:J70"/>
    <mergeCell ref="K70:M70"/>
    <mergeCell ref="N70:O70"/>
    <mergeCell ref="P70:Q70"/>
    <mergeCell ref="B69:E69"/>
    <mergeCell ref="K69:M69"/>
    <mergeCell ref="N69:O69"/>
    <mergeCell ref="F69:G69"/>
    <mergeCell ref="R70:S70"/>
    <mergeCell ref="B71:E71"/>
    <mergeCell ref="F71:G71"/>
    <mergeCell ref="H71:J71"/>
    <mergeCell ref="K71:M71"/>
    <mergeCell ref="N71:O71"/>
    <mergeCell ref="P71:Q71"/>
    <mergeCell ref="R71:S71"/>
    <mergeCell ref="B70:E70"/>
    <mergeCell ref="F70:G70"/>
    <mergeCell ref="B72:E72"/>
    <mergeCell ref="F72:G72"/>
    <mergeCell ref="H72:J72"/>
    <mergeCell ref="K72:M72"/>
    <mergeCell ref="N72:O72"/>
    <mergeCell ref="P72:Q72"/>
    <mergeCell ref="R72:S72"/>
    <mergeCell ref="H73:J73"/>
    <mergeCell ref="K73:M73"/>
    <mergeCell ref="N73:O73"/>
    <mergeCell ref="P73:Q73"/>
    <mergeCell ref="R73:S73"/>
    <mergeCell ref="B117:S117"/>
    <mergeCell ref="R120:S120"/>
    <mergeCell ref="B73:G73"/>
    <mergeCell ref="B76:G76"/>
    <mergeCell ref="B77:G77"/>
    <mergeCell ref="I78:M78"/>
    <mergeCell ref="H76:M76"/>
    <mergeCell ref="H77:M77"/>
    <mergeCell ref="N78:S78"/>
    <mergeCell ref="N79:S79"/>
  </mergeCells>
  <conditionalFormatting sqref="B7:S7 B9 B11:S11 B13 B17:S17 B21:N21 B42:S42 B44:S44 B46:N46 B48 B50:S50 B58:N58 B60:G60 K63 N77 B23 B19:S19 B25:S25 B30:S30 B32:S32 B34:N34 B36 B38:S38 B56 B54:S54">
    <cfRule type="cellIs" priority="7" dxfId="97" operator="notEqual" stopIfTrue="1">
      <formula>""</formula>
    </cfRule>
  </conditionalFormatting>
  <conditionalFormatting sqref="F83:S83 B85 O111">
    <cfRule type="cellIs" priority="6" dxfId="97" operator="notEqual" stopIfTrue="1">
      <formula>""</formula>
    </cfRule>
  </conditionalFormatting>
  <conditionalFormatting sqref="B63 O58 B77:M77 B81">
    <cfRule type="cellIs" priority="4" dxfId="97" operator="notEqual" stopIfTrue="1">
      <formula>"Choisir…"</formula>
    </cfRule>
  </conditionalFormatting>
  <conditionalFormatting sqref="H60:O60">
    <cfRule type="cellIs" priority="3" dxfId="96" operator="notEqual" stopIfTrue="1">
      <formula>"Choisir…"</formula>
    </cfRule>
  </conditionalFormatting>
  <conditionalFormatting sqref="F81:S81">
    <cfRule type="cellIs" priority="1" dxfId="95" operator="notEqual" stopIfTrue="1">
      <formula>""</formula>
    </cfRule>
  </conditionalFormatting>
  <dataValidations count="26">
    <dataValidation type="list" allowBlank="1" showInputMessage="1" showErrorMessage="1" sqref="B77:G77">
      <formula1>Triphasé</formula1>
    </dataValidation>
    <dataValidation type="list" allowBlank="1" showInputMessage="1" showErrorMessage="1" sqref="H77:M77">
      <formula1>Énergie_réduit_ter</formula1>
    </dataValidation>
    <dataValidation allowBlank="1" showInputMessage="1" showErrorMessage="1" promptTitle="NEQ" prompt="Numéro d'entreprise du Québec" sqref="P19 P7 P32 P44 P54"/>
    <dataValidation type="list" allowBlank="1" showInputMessage="1" showErrorMessage="1" sqref="B42 B17 B30">
      <formula1>"Madame, Monsieur"</formula1>
    </dataValidation>
    <dataValidation type="list" allowBlank="1" showInputMessage="1" showErrorMessage="1" sqref="O58:S58">
      <formula1>Régions</formula1>
    </dataValidation>
    <dataValidation type="list" allowBlank="1" showInputMessage="1" showErrorMessage="1" sqref="H60:O60">
      <formula1>Secteur</formula1>
    </dataValidation>
    <dataValidation type="list" allowBlank="1" showInputMessage="1" showErrorMessage="1" sqref="B63:J63">
      <formula1>Distributeurs</formula1>
    </dataValidation>
    <dataValidation type="list" allowBlank="1" showInputMessage="1" showErrorMessage="1" sqref="B72:E72">
      <formula1>Énergie_réduit_bis</formula1>
    </dataValidation>
    <dataValidation type="textLength" operator="equal" allowBlank="1" showInputMessage="1" showErrorMessage="1" prompt="Le code postal doit comprendre 7 caractères, dont un espace au milieu. &#10;&#10;Exemple : A1B 2C3." error="Le code postal doit comprendre 7 caractères, dont un espace au milieu. &#10;&#10;Exemple : A1B 2C3." sqref="P11:S11 P38:S38 P25:S25 P50:S50">
      <formula1>7</formula1>
    </dataValidation>
    <dataValidation type="date" operator="greaterThan" allowBlank="1" showInputMessage="1" showErrorMessage="1" prompt="Si l'installation a été fait plus de 30 jours avant le dépôt de la demande d'aide financière, celle-ci n'est plus admissible.&#10;&#10;La date doit être entrée sous le format &quot;aaaa-mm-jj&quot;.&#10;&#10;Exemple : 2023-06-24" error="Si l'installation a été faite plus de 30 jours avant le dépôt de la demande d'aide financière, celle-ci n'est plus admissible.&#10;&#10;La date doit être entrée sous le format &quot;aaaa-mm-jj&quot;.&#10;&#10;Exemple : 2023-06-24" sqref="F83:L83">
      <formula1>TODAY()-30</formula1>
    </dataValidation>
    <dataValidation type="date" operator="greaterThanOrEqual" allowBlank="1" showInputMessage="1" showErrorMessage="1" prompt="La date doit être entrée sous le format &quot;aaaa-mm-jj&quot;.&#10;&#10;Exemple : 2023-06-24" error="La date doit être entrée sous le format &quot;aaaa-mm-jj&quot;.&#10;&#10;Exemple : 2023-06-24" sqref="O111:S111 M83:S83">
      <formula1>1</formula1>
    </dataValidation>
    <dataValidation type="list" allowBlank="1" showInputMessage="1" showErrorMessage="1" sqref="J101:M101 J103">
      <formula1>Nature_Sub</formula1>
    </dataValidation>
    <dataValidation type="list" allowBlank="1" showInputMessage="1" showErrorMessage="1" sqref="B102:C103">
      <formula1>Fin_autre</formula1>
    </dataValidation>
    <dataValidation allowBlank="1" showInputMessage="1" showErrorMessage="1" prompt="Indiquer le numéro de demande qui vous sera fournis par votre distribiteur (un numéro de 8 chiffres débutant par 2)." sqref="K63:S63"/>
    <dataValidation type="date" operator="greaterThan" allowBlank="1" showInputMessage="1" showErrorMessage="1" prompt="La date doit être entrée sous le format &quot;aaaa-mm-jj&quot;.&#10;&#10;Exemple : 2023-06-24" sqref="B67:S67">
      <formula1>1</formula1>
    </dataValidation>
    <dataValidation allowBlank="1" showInputMessage="1" showErrorMessage="1" promptTitle="Note :" prompt="Cette valeur s'affichera lorsque les dépenses auront été entrées dans l'onglet &quot;Rapport détaillé des coûts&quot;." sqref="N79:S79"/>
    <dataValidation allowBlank="1" showInputMessage="1" showErrorMessage="1" promptTitle="Note :" prompt="Les valeurs dans ce tableau seront remplies automatiquement après que l'onglet &quot;Rapport détaillé des coûts&quot; soit rempli." sqref="K91:S95"/>
    <dataValidation allowBlank="1" showInputMessage="1" showErrorMessage="1" promptTitle="Note :" prompt="Cette valeur sera ajustée lorsque les valeurs pour les trois paramètres ci-dessus seront entrées." sqref="B79:H79"/>
    <dataValidation type="list" allowBlank="1" showInputMessage="1" showErrorMessage="1" sqref="J102:M102">
      <formula1>Nature_Sub</formula1>
    </dataValidation>
    <dataValidation type="list" allowBlank="1" showInputMessage="1" showErrorMessage="1" sqref="B81:E81">
      <formula1>OuiNon</formula1>
    </dataValidation>
    <dataValidation type="list" allowBlank="1" showInputMessage="1" showErrorMessage="1" sqref="B71:E71">
      <formula1>Énergie_réduit_bis</formula1>
    </dataValidation>
    <dataValidation type="list" allowBlank="1" showInputMessage="1" showErrorMessage="1" sqref="B69:E70">
      <formula1>Énergie_réduit_bis</formula1>
    </dataValidation>
    <dataValidation type="decimal" operator="notEqual" allowBlank="1" showInputMessage="1" showErrorMessage="1" prompt="La valeur entrée doit être un nombre seulement.&#10;&#10;Exemple : Pour 6800 litres de mazout, entrer seulement &quot;6800&quot;." sqref="H69:J72">
      <formula1>-9999999999999</formula1>
    </dataValidation>
    <dataValidation allowBlank="1" showInputMessage="1" showErrorMessage="1" prompt="Le code postal doit comprendre 7 caractères, dont un espace au milieu. &#10;&#10;Exemple : A1B 2C3." sqref="L58:N58"/>
    <dataValidation type="decimal" operator="notEqual" allowBlank="1" showInputMessage="1" showErrorMessage="1" prompt="La valeur entrée doit être un nombre seulement.&#10;&#10;Exemple : Pour 6800 litres de mazout, entrer seulement &quot;6800&quot;." sqref="N77:S77">
      <formula1>-999999999</formula1>
    </dataValidation>
    <dataValidation allowBlank="1" showInputMessage="1" showErrorMessage="1" promptTitle="Note :" prompt="Cette valeur sera ajustée lorsque les consommations du site à la section F ainsi valeurs pour les trois paramètres ci-dessus seront entrées." sqref="I79:M79"/>
  </dataValidations>
  <hyperlinks>
    <hyperlink ref="B88:S88" location="'Rapport détaillé des coûts'!B9" display="Note : Veuillez remplir l'onglet 2. Rapport détaillé des coûts."/>
  </hyperlinks>
  <printOptions/>
  <pageMargins left="0.3937007874015748" right="0.3937007874015748" top="0.3937007874015748" bottom="0.5905511811023623" header="0.3937007874015748" footer="0.3937007874015748"/>
  <pageSetup fitToHeight="0" fitToWidth="1" horizontalDpi="600" verticalDpi="600" orientation="portrait" paperSize="5" scale="93" r:id="rId4"/>
  <headerFooter>
    <oddFooter>&amp;L&amp;"Arial Narrow,Gras"&amp;8Ministère de l’Environnement, de la Lutte contre les changements climatiques, de la Faune et des Parcs&amp;R&amp;"Arial Narrow,Gras"&amp;8 2023-05-25</oddFooter>
  </headerFooter>
  <rowBreaks count="1" manualBreakCount="1">
    <brk id="60" min="1" max="18" man="1"/>
  </rowBreaks>
  <drawing r:id="rId3"/>
  <legacyDrawing r:id="rId2"/>
</worksheet>
</file>

<file path=xl/worksheets/sheet3.xml><?xml version="1.0" encoding="utf-8"?>
<worksheet xmlns="http://schemas.openxmlformats.org/spreadsheetml/2006/main" xmlns:r="http://schemas.openxmlformats.org/officeDocument/2006/relationships">
  <sheetPr codeName="Feuil9">
    <pageSetUpPr fitToPage="1"/>
  </sheetPr>
  <dimension ref="B1:V53"/>
  <sheetViews>
    <sheetView showGridLines="0" showRowColHeaders="0" zoomScalePageLayoutView="0" workbookViewId="0" topLeftCell="A1">
      <selection activeCell="B9" sqref="B9"/>
    </sheetView>
  </sheetViews>
  <sheetFormatPr defaultColWidth="10.7109375" defaultRowHeight="15.75" customHeight="1"/>
  <cols>
    <col min="1" max="1" width="2.28125" style="442" customWidth="1"/>
    <col min="2" max="2" width="24.7109375" style="442" customWidth="1"/>
    <col min="3" max="3" width="40.7109375" style="442" customWidth="1"/>
    <col min="4" max="4" width="28.28125" style="442" customWidth="1"/>
    <col min="5" max="7" width="12.7109375" style="442" customWidth="1"/>
    <col min="8" max="8" width="3.7109375" style="442" customWidth="1"/>
    <col min="9" max="9" width="27.7109375" style="442" customWidth="1"/>
    <col min="10" max="13" width="12.7109375" style="442" customWidth="1"/>
    <col min="14" max="14" width="42.421875" style="442" customWidth="1"/>
    <col min="15" max="15" width="2.28125" style="442" customWidth="1"/>
    <col min="16" max="16384" width="10.7109375" style="442" customWidth="1"/>
  </cols>
  <sheetData>
    <row r="1" ht="60" customHeight="1">
      <c r="B1" s="502"/>
    </row>
    <row r="2" ht="18" customHeight="1"/>
    <row r="3" ht="19.5" customHeight="1">
      <c r="B3" s="501" t="s">
        <v>1050</v>
      </c>
    </row>
    <row r="4" ht="9.75" customHeight="1"/>
    <row r="5" spans="2:22" ht="19.5" customHeight="1">
      <c r="B5" s="499" t="s">
        <v>1041</v>
      </c>
      <c r="C5" s="499"/>
      <c r="D5" s="499"/>
      <c r="E5" s="499"/>
      <c r="F5" s="499"/>
      <c r="G5" s="499"/>
      <c r="H5" s="500"/>
      <c r="I5" s="499" t="s">
        <v>1040</v>
      </c>
      <c r="J5" s="499"/>
      <c r="K5" s="499"/>
      <c r="L5" s="499"/>
      <c r="M5" s="499"/>
      <c r="N5" s="499"/>
      <c r="O5" s="437"/>
      <c r="P5" s="437"/>
      <c r="Q5" s="437"/>
      <c r="R5" s="437"/>
      <c r="S5" s="437"/>
      <c r="T5" s="437"/>
      <c r="U5" s="437"/>
      <c r="V5" s="437"/>
    </row>
    <row r="6" spans="2:22" s="498" customFormat="1" ht="18" customHeight="1">
      <c r="B6" s="733" t="s">
        <v>1115</v>
      </c>
      <c r="C6" s="735" t="s">
        <v>1114</v>
      </c>
      <c r="D6" s="466" t="s">
        <v>1113</v>
      </c>
      <c r="E6" s="471"/>
      <c r="F6" s="471"/>
      <c r="G6" s="465"/>
      <c r="H6" s="456"/>
      <c r="I6" s="466" t="s">
        <v>1112</v>
      </c>
      <c r="J6" s="471"/>
      <c r="K6" s="465"/>
      <c r="L6" s="466" t="s">
        <v>1111</v>
      </c>
      <c r="M6" s="465"/>
      <c r="N6" s="731" t="s">
        <v>1110</v>
      </c>
      <c r="O6" s="443"/>
      <c r="P6" s="443"/>
      <c r="Q6" s="443"/>
      <c r="R6" s="443"/>
      <c r="S6" s="443"/>
      <c r="T6" s="443"/>
      <c r="U6" s="443"/>
      <c r="V6" s="443"/>
    </row>
    <row r="7" spans="2:22" ht="25.5" customHeight="1">
      <c r="B7" s="734"/>
      <c r="C7" s="736"/>
      <c r="D7" s="497" t="s">
        <v>1109</v>
      </c>
      <c r="E7" s="496" t="s">
        <v>1024</v>
      </c>
      <c r="F7" s="496" t="s">
        <v>1026</v>
      </c>
      <c r="G7" s="496" t="s">
        <v>1027</v>
      </c>
      <c r="H7" s="495"/>
      <c r="I7" s="496" t="s">
        <v>1131</v>
      </c>
      <c r="J7" s="496" t="s">
        <v>35</v>
      </c>
      <c r="K7" s="496" t="s">
        <v>1108</v>
      </c>
      <c r="L7" s="496" t="s">
        <v>1026</v>
      </c>
      <c r="M7" s="496" t="s">
        <v>1027</v>
      </c>
      <c r="N7" s="732"/>
      <c r="O7" s="437"/>
      <c r="P7" s="437"/>
      <c r="Q7" s="437"/>
      <c r="R7" s="437"/>
      <c r="S7" s="437"/>
      <c r="T7" s="437"/>
      <c r="U7" s="437"/>
      <c r="V7" s="437"/>
    </row>
    <row r="8" spans="2:22" ht="15.75" customHeight="1">
      <c r="B8" s="489" t="s">
        <v>1076</v>
      </c>
      <c r="C8" s="487"/>
      <c r="D8" s="487"/>
      <c r="E8" s="487"/>
      <c r="F8" s="487"/>
      <c r="G8" s="482"/>
      <c r="H8" s="495"/>
      <c r="I8" s="487"/>
      <c r="J8" s="487"/>
      <c r="K8" s="487"/>
      <c r="L8" s="489"/>
      <c r="M8" s="487"/>
      <c r="N8" s="482"/>
      <c r="O8" s="437"/>
      <c r="P8" s="437"/>
      <c r="Q8" s="437"/>
      <c r="R8" s="437"/>
      <c r="S8" s="437"/>
      <c r="T8" s="437"/>
      <c r="U8" s="437"/>
      <c r="V8" s="437"/>
    </row>
    <row r="9" spans="2:22" ht="15.75" customHeight="1">
      <c r="B9" s="504"/>
      <c r="C9" s="504"/>
      <c r="D9" s="504"/>
      <c r="E9" s="505"/>
      <c r="F9" s="506"/>
      <c r="G9" s="506"/>
      <c r="H9" s="481"/>
      <c r="I9" s="504"/>
      <c r="J9" s="505"/>
      <c r="K9" s="506"/>
      <c r="L9" s="506"/>
      <c r="M9" s="506"/>
      <c r="N9" s="504"/>
      <c r="O9" s="437"/>
      <c r="P9" s="437"/>
      <c r="Q9" s="437"/>
      <c r="R9" s="437"/>
      <c r="S9" s="437"/>
      <c r="T9" s="437"/>
      <c r="U9" s="437"/>
      <c r="V9" s="437"/>
    </row>
    <row r="10" spans="2:22" ht="15.75" customHeight="1">
      <c r="B10" s="504"/>
      <c r="C10" s="504"/>
      <c r="D10" s="504"/>
      <c r="E10" s="505"/>
      <c r="F10" s="506"/>
      <c r="G10" s="506"/>
      <c r="H10" s="481"/>
      <c r="I10" s="504"/>
      <c r="J10" s="505"/>
      <c r="K10" s="506"/>
      <c r="L10" s="506"/>
      <c r="M10" s="506"/>
      <c r="N10" s="504"/>
      <c r="O10" s="437"/>
      <c r="P10" s="437"/>
      <c r="Q10" s="437"/>
      <c r="R10" s="437"/>
      <c r="S10" s="437"/>
      <c r="T10" s="437"/>
      <c r="U10" s="437"/>
      <c r="V10" s="437"/>
    </row>
    <row r="11" spans="2:22" ht="15.75" customHeight="1">
      <c r="B11" s="504"/>
      <c r="C11" s="504"/>
      <c r="D11" s="504"/>
      <c r="E11" s="505"/>
      <c r="F11" s="506"/>
      <c r="G11" s="506"/>
      <c r="H11" s="481"/>
      <c r="I11" s="504"/>
      <c r="J11" s="505"/>
      <c r="K11" s="506"/>
      <c r="L11" s="506"/>
      <c r="M11" s="506"/>
      <c r="N11" s="504"/>
      <c r="O11" s="437"/>
      <c r="P11" s="437"/>
      <c r="Q11" s="437"/>
      <c r="R11" s="437"/>
      <c r="S11" s="437"/>
      <c r="T11" s="437"/>
      <c r="U11" s="437"/>
      <c r="V11" s="437"/>
    </row>
    <row r="12" spans="2:22" ht="15.75" customHeight="1">
      <c r="B12" s="504"/>
      <c r="C12" s="504"/>
      <c r="D12" s="504"/>
      <c r="E12" s="505"/>
      <c r="F12" s="506"/>
      <c r="G12" s="506"/>
      <c r="H12" s="481"/>
      <c r="I12" s="504"/>
      <c r="J12" s="505"/>
      <c r="K12" s="506"/>
      <c r="L12" s="506"/>
      <c r="M12" s="506"/>
      <c r="N12" s="504"/>
      <c r="O12" s="437"/>
      <c r="P12" s="437"/>
      <c r="Q12" s="437"/>
      <c r="R12" s="437"/>
      <c r="S12" s="437"/>
      <c r="T12" s="437"/>
      <c r="U12" s="437"/>
      <c r="V12" s="437"/>
    </row>
    <row r="13" spans="2:22" ht="15.75" customHeight="1">
      <c r="B13" s="504"/>
      <c r="C13" s="504"/>
      <c r="D13" s="504"/>
      <c r="E13" s="505"/>
      <c r="F13" s="506"/>
      <c r="G13" s="506"/>
      <c r="H13" s="481"/>
      <c r="I13" s="504"/>
      <c r="J13" s="505"/>
      <c r="K13" s="506"/>
      <c r="L13" s="506"/>
      <c r="M13" s="506"/>
      <c r="N13" s="504"/>
      <c r="O13" s="437"/>
      <c r="P13" s="437"/>
      <c r="Q13" s="437"/>
      <c r="R13" s="437"/>
      <c r="S13" s="437"/>
      <c r="T13" s="437"/>
      <c r="U13" s="437"/>
      <c r="V13" s="437"/>
    </row>
    <row r="14" spans="2:22" ht="15.75" customHeight="1">
      <c r="B14" s="504"/>
      <c r="C14" s="504"/>
      <c r="D14" s="504"/>
      <c r="E14" s="505"/>
      <c r="F14" s="506"/>
      <c r="G14" s="506"/>
      <c r="H14" s="481"/>
      <c r="I14" s="504"/>
      <c r="J14" s="505"/>
      <c r="K14" s="506"/>
      <c r="L14" s="506"/>
      <c r="M14" s="506"/>
      <c r="N14" s="504"/>
      <c r="O14" s="437"/>
      <c r="P14" s="437"/>
      <c r="Q14" s="437"/>
      <c r="R14" s="437"/>
      <c r="S14" s="437"/>
      <c r="T14" s="437"/>
      <c r="U14" s="437"/>
      <c r="V14" s="437"/>
    </row>
    <row r="15" spans="2:22" ht="15.75" customHeight="1">
      <c r="B15" s="504"/>
      <c r="C15" s="504"/>
      <c r="D15" s="504"/>
      <c r="E15" s="505"/>
      <c r="F15" s="506"/>
      <c r="G15" s="506"/>
      <c r="H15" s="481"/>
      <c r="I15" s="504"/>
      <c r="J15" s="505"/>
      <c r="K15" s="506"/>
      <c r="L15" s="506"/>
      <c r="M15" s="506"/>
      <c r="N15" s="504"/>
      <c r="O15" s="437"/>
      <c r="P15" s="437"/>
      <c r="Q15" s="437"/>
      <c r="R15" s="437"/>
      <c r="S15" s="437"/>
      <c r="T15" s="437"/>
      <c r="U15" s="437"/>
      <c r="V15" s="437"/>
    </row>
    <row r="16" spans="2:22" ht="15.75" customHeight="1">
      <c r="B16" s="504"/>
      <c r="C16" s="504"/>
      <c r="D16" s="504"/>
      <c r="E16" s="505"/>
      <c r="F16" s="506"/>
      <c r="G16" s="506"/>
      <c r="H16" s="481"/>
      <c r="I16" s="504"/>
      <c r="J16" s="505"/>
      <c r="K16" s="506"/>
      <c r="L16" s="506"/>
      <c r="M16" s="506"/>
      <c r="N16" s="504"/>
      <c r="O16" s="437"/>
      <c r="P16" s="437"/>
      <c r="Q16" s="437"/>
      <c r="R16" s="437"/>
      <c r="S16" s="437"/>
      <c r="T16" s="437"/>
      <c r="U16" s="437"/>
      <c r="V16" s="437"/>
    </row>
    <row r="17" spans="2:22" ht="15.75" customHeight="1">
      <c r="B17" s="504"/>
      <c r="C17" s="504"/>
      <c r="D17" s="504"/>
      <c r="E17" s="505"/>
      <c r="F17" s="506"/>
      <c r="G17" s="506"/>
      <c r="H17" s="481"/>
      <c r="I17" s="504"/>
      <c r="J17" s="505"/>
      <c r="K17" s="506"/>
      <c r="L17" s="506"/>
      <c r="M17" s="506"/>
      <c r="N17" s="504"/>
      <c r="O17" s="437"/>
      <c r="P17" s="437"/>
      <c r="Q17" s="437"/>
      <c r="R17" s="437"/>
      <c r="S17" s="437"/>
      <c r="T17" s="437"/>
      <c r="U17" s="437"/>
      <c r="V17" s="437"/>
    </row>
    <row r="18" spans="2:22" ht="15.75" customHeight="1">
      <c r="B18" s="504"/>
      <c r="C18" s="504"/>
      <c r="D18" s="504"/>
      <c r="E18" s="505"/>
      <c r="F18" s="506"/>
      <c r="G18" s="506"/>
      <c r="H18" s="481"/>
      <c r="I18" s="504"/>
      <c r="J18" s="505"/>
      <c r="K18" s="506"/>
      <c r="L18" s="506"/>
      <c r="M18" s="506"/>
      <c r="N18" s="504"/>
      <c r="O18" s="437"/>
      <c r="P18" s="437"/>
      <c r="Q18" s="437"/>
      <c r="R18" s="437"/>
      <c r="S18" s="437"/>
      <c r="T18" s="437"/>
      <c r="U18" s="437"/>
      <c r="V18" s="437"/>
    </row>
    <row r="19" spans="2:22" ht="15.75" customHeight="1" thickBot="1">
      <c r="B19" s="507"/>
      <c r="C19" s="507"/>
      <c r="D19" s="507"/>
      <c r="E19" s="508"/>
      <c r="F19" s="509"/>
      <c r="G19" s="509"/>
      <c r="H19" s="481"/>
      <c r="I19" s="507"/>
      <c r="J19" s="508"/>
      <c r="K19" s="509"/>
      <c r="L19" s="509"/>
      <c r="M19" s="509"/>
      <c r="N19" s="507"/>
      <c r="O19" s="437"/>
      <c r="P19" s="437"/>
      <c r="Q19" s="437"/>
      <c r="R19" s="437"/>
      <c r="S19" s="437"/>
      <c r="T19" s="437"/>
      <c r="U19" s="437"/>
      <c r="V19" s="437"/>
    </row>
    <row r="20" spans="2:22" ht="18" customHeight="1" thickTop="1">
      <c r="B20" s="480"/>
      <c r="C20" s="494"/>
      <c r="D20" s="494"/>
      <c r="E20" s="493" t="s">
        <v>1020</v>
      </c>
      <c r="F20" s="491">
        <f>SUM(F9:F19)</f>
        <v>0</v>
      </c>
      <c r="G20" s="491">
        <f>SUM(G9:G19)</f>
        <v>0</v>
      </c>
      <c r="H20" s="477"/>
      <c r="I20" s="476"/>
      <c r="J20" s="492"/>
      <c r="K20" s="491">
        <f>SUM(K9:K19)</f>
        <v>0</v>
      </c>
      <c r="L20" s="491">
        <f>SUM(L9:L19)</f>
        <v>0</v>
      </c>
      <c r="M20" s="491">
        <f>SUM(M9:M19)</f>
        <v>0</v>
      </c>
      <c r="N20" s="490"/>
      <c r="O20" s="437"/>
      <c r="P20" s="437"/>
      <c r="Q20" s="437"/>
      <c r="R20" s="437"/>
      <c r="S20" s="437"/>
      <c r="T20" s="437"/>
      <c r="U20" s="437"/>
      <c r="V20" s="437"/>
    </row>
    <row r="21" spans="2:22" ht="15.75" customHeight="1">
      <c r="B21" s="489" t="s">
        <v>1075</v>
      </c>
      <c r="C21" s="487"/>
      <c r="D21" s="487"/>
      <c r="E21" s="487"/>
      <c r="F21" s="483"/>
      <c r="G21" s="488"/>
      <c r="H21" s="467"/>
      <c r="I21" s="487"/>
      <c r="J21" s="486"/>
      <c r="K21" s="485"/>
      <c r="L21" s="484"/>
      <c r="M21" s="483"/>
      <c r="N21" s="482"/>
      <c r="O21" s="437"/>
      <c r="P21" s="437"/>
      <c r="Q21" s="437"/>
      <c r="R21" s="437"/>
      <c r="S21" s="437"/>
      <c r="T21" s="437"/>
      <c r="U21" s="437"/>
      <c r="V21" s="437"/>
    </row>
    <row r="22" spans="2:22" ht="15.75" customHeight="1">
      <c r="B22" s="504"/>
      <c r="C22" s="504"/>
      <c r="D22" s="504"/>
      <c r="E22" s="505"/>
      <c r="F22" s="506"/>
      <c r="G22" s="506"/>
      <c r="H22" s="481"/>
      <c r="I22" s="504"/>
      <c r="J22" s="505"/>
      <c r="K22" s="506"/>
      <c r="L22" s="506"/>
      <c r="M22" s="506"/>
      <c r="N22" s="504"/>
      <c r="O22" s="437"/>
      <c r="P22" s="437"/>
      <c r="Q22" s="437"/>
      <c r="R22" s="437"/>
      <c r="S22" s="437"/>
      <c r="T22" s="437"/>
      <c r="U22" s="437"/>
      <c r="V22" s="437"/>
    </row>
    <row r="23" spans="2:22" ht="15.75" customHeight="1">
      <c r="B23" s="504"/>
      <c r="C23" s="504"/>
      <c r="D23" s="504"/>
      <c r="E23" s="505"/>
      <c r="F23" s="506"/>
      <c r="G23" s="506"/>
      <c r="H23" s="481"/>
      <c r="I23" s="504"/>
      <c r="J23" s="505"/>
      <c r="K23" s="506"/>
      <c r="L23" s="506"/>
      <c r="M23" s="506"/>
      <c r="N23" s="504"/>
      <c r="O23" s="437"/>
      <c r="P23" s="437"/>
      <c r="Q23" s="437"/>
      <c r="R23" s="437"/>
      <c r="S23" s="437"/>
      <c r="T23" s="437"/>
      <c r="U23" s="437"/>
      <c r="V23" s="437"/>
    </row>
    <row r="24" spans="2:22" ht="15.75" customHeight="1">
      <c r="B24" s="504"/>
      <c r="C24" s="504"/>
      <c r="D24" s="504"/>
      <c r="E24" s="505"/>
      <c r="F24" s="506"/>
      <c r="G24" s="506"/>
      <c r="H24" s="481"/>
      <c r="I24" s="504"/>
      <c r="J24" s="505"/>
      <c r="K24" s="506"/>
      <c r="L24" s="506"/>
      <c r="M24" s="506"/>
      <c r="N24" s="504"/>
      <c r="O24" s="437"/>
      <c r="P24" s="437"/>
      <c r="Q24" s="437"/>
      <c r="R24" s="437"/>
      <c r="S24" s="437"/>
      <c r="T24" s="437"/>
      <c r="U24" s="437"/>
      <c r="V24" s="437"/>
    </row>
    <row r="25" spans="2:22" ht="15.75" customHeight="1">
      <c r="B25" s="504"/>
      <c r="C25" s="504"/>
      <c r="D25" s="504"/>
      <c r="E25" s="505"/>
      <c r="F25" s="506"/>
      <c r="G25" s="506"/>
      <c r="H25" s="481"/>
      <c r="I25" s="504"/>
      <c r="J25" s="505"/>
      <c r="K25" s="506"/>
      <c r="L25" s="506"/>
      <c r="M25" s="506"/>
      <c r="N25" s="504"/>
      <c r="O25" s="437"/>
      <c r="P25" s="437"/>
      <c r="Q25" s="437"/>
      <c r="R25" s="437"/>
      <c r="S25" s="437"/>
      <c r="T25" s="437"/>
      <c r="U25" s="437"/>
      <c r="V25" s="437"/>
    </row>
    <row r="26" spans="2:22" ht="15.75" customHeight="1">
      <c r="B26" s="504"/>
      <c r="C26" s="504"/>
      <c r="D26" s="504"/>
      <c r="E26" s="505"/>
      <c r="F26" s="506"/>
      <c r="G26" s="506"/>
      <c r="H26" s="481"/>
      <c r="I26" s="504"/>
      <c r="J26" s="505"/>
      <c r="K26" s="506"/>
      <c r="L26" s="506"/>
      <c r="M26" s="506"/>
      <c r="N26" s="504"/>
      <c r="O26" s="437"/>
      <c r="P26" s="437"/>
      <c r="Q26" s="437"/>
      <c r="R26" s="437"/>
      <c r="S26" s="437"/>
      <c r="T26" s="437"/>
      <c r="U26" s="437"/>
      <c r="V26" s="437"/>
    </row>
    <row r="27" spans="2:22" ht="15.75" customHeight="1">
      <c r="B27" s="504"/>
      <c r="C27" s="504"/>
      <c r="D27" s="504"/>
      <c r="E27" s="505"/>
      <c r="F27" s="506"/>
      <c r="G27" s="506"/>
      <c r="H27" s="481"/>
      <c r="I27" s="504"/>
      <c r="J27" s="505"/>
      <c r="K27" s="506"/>
      <c r="L27" s="506"/>
      <c r="M27" s="506"/>
      <c r="N27" s="504"/>
      <c r="O27" s="437"/>
      <c r="P27" s="437"/>
      <c r="Q27" s="437"/>
      <c r="R27" s="437"/>
      <c r="S27" s="437"/>
      <c r="T27" s="437"/>
      <c r="U27" s="437"/>
      <c r="V27" s="437"/>
    </row>
    <row r="28" spans="2:22" ht="15.75" customHeight="1">
      <c r="B28" s="504"/>
      <c r="C28" s="504"/>
      <c r="D28" s="504"/>
      <c r="E28" s="505"/>
      <c r="F28" s="506"/>
      <c r="G28" s="506"/>
      <c r="H28" s="481"/>
      <c r="I28" s="504"/>
      <c r="J28" s="505"/>
      <c r="K28" s="506"/>
      <c r="L28" s="506"/>
      <c r="M28" s="506"/>
      <c r="N28" s="504"/>
      <c r="O28" s="437"/>
      <c r="P28" s="437"/>
      <c r="Q28" s="437"/>
      <c r="R28" s="437"/>
      <c r="S28" s="437"/>
      <c r="T28" s="437"/>
      <c r="U28" s="437"/>
      <c r="V28" s="437"/>
    </row>
    <row r="29" spans="2:22" ht="15.75" customHeight="1">
      <c r="B29" s="504"/>
      <c r="C29" s="504"/>
      <c r="D29" s="504"/>
      <c r="E29" s="505"/>
      <c r="F29" s="506"/>
      <c r="G29" s="506"/>
      <c r="H29" s="481"/>
      <c r="I29" s="504"/>
      <c r="J29" s="505"/>
      <c r="K29" s="506"/>
      <c r="L29" s="506"/>
      <c r="M29" s="506"/>
      <c r="N29" s="504"/>
      <c r="O29" s="437"/>
      <c r="P29" s="437"/>
      <c r="Q29" s="437"/>
      <c r="R29" s="437"/>
      <c r="S29" s="437"/>
      <c r="T29" s="437"/>
      <c r="U29" s="437"/>
      <c r="V29" s="437"/>
    </row>
    <row r="30" spans="2:22" ht="15.75" customHeight="1" thickBot="1">
      <c r="B30" s="507"/>
      <c r="C30" s="507"/>
      <c r="D30" s="507"/>
      <c r="E30" s="508"/>
      <c r="F30" s="509"/>
      <c r="G30" s="509"/>
      <c r="H30" s="481"/>
      <c r="I30" s="507"/>
      <c r="J30" s="508"/>
      <c r="K30" s="509"/>
      <c r="L30" s="509"/>
      <c r="M30" s="509"/>
      <c r="N30" s="507"/>
      <c r="O30" s="437"/>
      <c r="P30" s="437"/>
      <c r="Q30" s="437"/>
      <c r="R30" s="437"/>
      <c r="S30" s="437"/>
      <c r="T30" s="437"/>
      <c r="U30" s="437"/>
      <c r="V30" s="437"/>
    </row>
    <row r="31" spans="2:22" ht="18" customHeight="1" thickTop="1">
      <c r="B31" s="480"/>
      <c r="C31" s="494"/>
      <c r="D31" s="494"/>
      <c r="E31" s="493" t="s">
        <v>1020</v>
      </c>
      <c r="F31" s="491">
        <f>SUM(F22:F30)</f>
        <v>0</v>
      </c>
      <c r="G31" s="491">
        <f>SUM(G22:G30)</f>
        <v>0</v>
      </c>
      <c r="H31" s="477"/>
      <c r="I31" s="476"/>
      <c r="J31" s="492"/>
      <c r="K31" s="491">
        <f>SUM(K22:K30)</f>
        <v>0</v>
      </c>
      <c r="L31" s="491">
        <f>SUM(L22:L30)</f>
        <v>0</v>
      </c>
      <c r="M31" s="491">
        <f>SUM(M22:M30)</f>
        <v>0</v>
      </c>
      <c r="N31" s="490"/>
      <c r="O31" s="437"/>
      <c r="P31" s="437"/>
      <c r="Q31" s="437"/>
      <c r="R31" s="437"/>
      <c r="S31" s="437"/>
      <c r="T31" s="437"/>
      <c r="U31" s="437"/>
      <c r="V31" s="437"/>
    </row>
    <row r="32" spans="2:22" ht="15.75" customHeight="1">
      <c r="B32" s="489" t="s">
        <v>1074</v>
      </c>
      <c r="C32" s="487"/>
      <c r="D32" s="487"/>
      <c r="E32" s="487"/>
      <c r="F32" s="483"/>
      <c r="G32" s="488"/>
      <c r="H32" s="467"/>
      <c r="I32" s="487"/>
      <c r="J32" s="486"/>
      <c r="K32" s="485"/>
      <c r="L32" s="484"/>
      <c r="M32" s="483"/>
      <c r="N32" s="482"/>
      <c r="O32" s="437"/>
      <c r="P32" s="437"/>
      <c r="Q32" s="437"/>
      <c r="R32" s="437"/>
      <c r="S32" s="437"/>
      <c r="T32" s="437"/>
      <c r="U32" s="437"/>
      <c r="V32" s="437"/>
    </row>
    <row r="33" spans="2:22" ht="15.75" customHeight="1">
      <c r="B33" s="504"/>
      <c r="C33" s="504"/>
      <c r="D33" s="504"/>
      <c r="E33" s="505"/>
      <c r="F33" s="506"/>
      <c r="G33" s="506"/>
      <c r="H33" s="481"/>
      <c r="I33" s="504"/>
      <c r="J33" s="505"/>
      <c r="K33" s="506"/>
      <c r="L33" s="506"/>
      <c r="M33" s="506"/>
      <c r="N33" s="504"/>
      <c r="O33" s="437"/>
      <c r="P33" s="437"/>
      <c r="Q33" s="437"/>
      <c r="R33" s="437"/>
      <c r="S33" s="437"/>
      <c r="T33" s="437"/>
      <c r="U33" s="437"/>
      <c r="V33" s="437"/>
    </row>
    <row r="34" spans="2:22" ht="15.75" customHeight="1">
      <c r="B34" s="504"/>
      <c r="C34" s="504"/>
      <c r="D34" s="504"/>
      <c r="E34" s="505"/>
      <c r="F34" s="506"/>
      <c r="G34" s="506"/>
      <c r="H34" s="481"/>
      <c r="I34" s="504"/>
      <c r="J34" s="505"/>
      <c r="K34" s="506"/>
      <c r="L34" s="506"/>
      <c r="M34" s="506"/>
      <c r="N34" s="504"/>
      <c r="O34" s="437"/>
      <c r="P34" s="437"/>
      <c r="Q34" s="437"/>
      <c r="R34" s="437"/>
      <c r="S34" s="437"/>
      <c r="T34" s="437"/>
      <c r="U34" s="437"/>
      <c r="V34" s="437"/>
    </row>
    <row r="35" spans="2:22" ht="15.75" customHeight="1">
      <c r="B35" s="504"/>
      <c r="C35" s="504"/>
      <c r="D35" s="504"/>
      <c r="E35" s="505"/>
      <c r="F35" s="506"/>
      <c r="G35" s="506"/>
      <c r="H35" s="481"/>
      <c r="I35" s="504"/>
      <c r="J35" s="505"/>
      <c r="K35" s="506"/>
      <c r="L35" s="506"/>
      <c r="M35" s="506"/>
      <c r="N35" s="504"/>
      <c r="O35" s="437"/>
      <c r="P35" s="437"/>
      <c r="Q35" s="437"/>
      <c r="R35" s="437"/>
      <c r="S35" s="437"/>
      <c r="T35" s="437"/>
      <c r="U35" s="437"/>
      <c r="V35" s="437"/>
    </row>
    <row r="36" spans="2:22" ht="15.75" customHeight="1">
      <c r="B36" s="504"/>
      <c r="C36" s="504"/>
      <c r="D36" s="504"/>
      <c r="E36" s="505"/>
      <c r="F36" s="506"/>
      <c r="G36" s="506"/>
      <c r="H36" s="481"/>
      <c r="I36" s="504"/>
      <c r="J36" s="505"/>
      <c r="K36" s="506"/>
      <c r="L36" s="506"/>
      <c r="M36" s="506"/>
      <c r="N36" s="504"/>
      <c r="O36" s="437"/>
      <c r="P36" s="437"/>
      <c r="Q36" s="437"/>
      <c r="R36" s="437"/>
      <c r="S36" s="437"/>
      <c r="T36" s="437"/>
      <c r="U36" s="437"/>
      <c r="V36" s="437"/>
    </row>
    <row r="37" spans="2:22" ht="15.75" customHeight="1" thickBot="1">
      <c r="B37" s="507"/>
      <c r="C37" s="507"/>
      <c r="D37" s="507"/>
      <c r="E37" s="508"/>
      <c r="F37" s="509"/>
      <c r="G37" s="509"/>
      <c r="H37" s="481"/>
      <c r="I37" s="507"/>
      <c r="J37" s="508"/>
      <c r="K37" s="509"/>
      <c r="L37" s="509"/>
      <c r="M37" s="509"/>
      <c r="N37" s="507"/>
      <c r="O37" s="437"/>
      <c r="P37" s="437"/>
      <c r="Q37" s="437"/>
      <c r="R37" s="437"/>
      <c r="S37" s="437"/>
      <c r="T37" s="437"/>
      <c r="U37" s="437"/>
      <c r="V37" s="437"/>
    </row>
    <row r="38" spans="2:22" ht="18" customHeight="1" thickTop="1">
      <c r="B38" s="480"/>
      <c r="C38" s="494"/>
      <c r="D38" s="494"/>
      <c r="E38" s="493" t="s">
        <v>1020</v>
      </c>
      <c r="F38" s="491">
        <f>SUM(F33:F37)</f>
        <v>0</v>
      </c>
      <c r="G38" s="491">
        <f>SUM(G33:G37)</f>
        <v>0</v>
      </c>
      <c r="H38" s="477"/>
      <c r="I38" s="476"/>
      <c r="J38" s="492"/>
      <c r="K38" s="491">
        <f>SUM(K33:K37)</f>
        <v>0</v>
      </c>
      <c r="L38" s="491">
        <f>SUM(L33:L37)</f>
        <v>0</v>
      </c>
      <c r="M38" s="491">
        <f>SUM(M33:M37)</f>
        <v>0</v>
      </c>
      <c r="N38" s="490"/>
      <c r="O38" s="437"/>
      <c r="P38" s="437"/>
      <c r="Q38" s="437"/>
      <c r="R38" s="437"/>
      <c r="S38" s="437"/>
      <c r="T38" s="437"/>
      <c r="U38" s="437"/>
      <c r="V38" s="437"/>
    </row>
    <row r="39" spans="2:22" ht="15.75" customHeight="1">
      <c r="B39" s="489" t="s">
        <v>1073</v>
      </c>
      <c r="C39" s="487"/>
      <c r="D39" s="487"/>
      <c r="E39" s="487"/>
      <c r="F39" s="483"/>
      <c r="G39" s="488"/>
      <c r="H39" s="467"/>
      <c r="I39" s="487"/>
      <c r="J39" s="486"/>
      <c r="K39" s="485"/>
      <c r="L39" s="484"/>
      <c r="M39" s="483"/>
      <c r="N39" s="482"/>
      <c r="O39" s="437"/>
      <c r="P39" s="437"/>
      <c r="Q39" s="437"/>
      <c r="R39" s="437"/>
      <c r="S39" s="437"/>
      <c r="T39" s="437"/>
      <c r="U39" s="437"/>
      <c r="V39" s="437"/>
    </row>
    <row r="40" spans="2:22" ht="15.75" customHeight="1">
      <c r="B40" s="504"/>
      <c r="C40" s="504"/>
      <c r="D40" s="504"/>
      <c r="E40" s="505"/>
      <c r="F40" s="506"/>
      <c r="G40" s="506"/>
      <c r="H40" s="481"/>
      <c r="I40" s="504"/>
      <c r="J40" s="505"/>
      <c r="K40" s="506"/>
      <c r="L40" s="506"/>
      <c r="M40" s="506"/>
      <c r="N40" s="504"/>
      <c r="O40" s="437"/>
      <c r="P40" s="437"/>
      <c r="Q40" s="437"/>
      <c r="R40" s="437"/>
      <c r="S40" s="437"/>
      <c r="T40" s="437"/>
      <c r="U40" s="437"/>
      <c r="V40" s="437"/>
    </row>
    <row r="41" spans="2:22" ht="15.75" customHeight="1">
      <c r="B41" s="504"/>
      <c r="C41" s="504"/>
      <c r="D41" s="504"/>
      <c r="E41" s="505"/>
      <c r="F41" s="506"/>
      <c r="G41" s="506"/>
      <c r="H41" s="481"/>
      <c r="I41" s="504"/>
      <c r="J41" s="505"/>
      <c r="K41" s="506"/>
      <c r="L41" s="506"/>
      <c r="M41" s="506"/>
      <c r="N41" s="504"/>
      <c r="O41" s="437"/>
      <c r="P41" s="437"/>
      <c r="Q41" s="437"/>
      <c r="R41" s="437"/>
      <c r="S41" s="437"/>
      <c r="T41" s="437"/>
      <c r="U41" s="437"/>
      <c r="V41" s="437"/>
    </row>
    <row r="42" spans="2:22" ht="15.75" customHeight="1">
      <c r="B42" s="504"/>
      <c r="C42" s="504"/>
      <c r="D42" s="504"/>
      <c r="E42" s="505"/>
      <c r="F42" s="506"/>
      <c r="G42" s="506"/>
      <c r="H42" s="481"/>
      <c r="I42" s="504"/>
      <c r="J42" s="505"/>
      <c r="K42" s="506"/>
      <c r="L42" s="506"/>
      <c r="M42" s="506"/>
      <c r="N42" s="504"/>
      <c r="O42" s="437"/>
      <c r="P42" s="437"/>
      <c r="Q42" s="437"/>
      <c r="R42" s="437"/>
      <c r="S42" s="437"/>
      <c r="T42" s="437"/>
      <c r="U42" s="437"/>
      <c r="V42" s="437"/>
    </row>
    <row r="43" spans="2:22" ht="15.75" customHeight="1">
      <c r="B43" s="504"/>
      <c r="C43" s="504"/>
      <c r="D43" s="504"/>
      <c r="E43" s="505"/>
      <c r="F43" s="506"/>
      <c r="G43" s="506"/>
      <c r="H43" s="481"/>
      <c r="I43" s="504"/>
      <c r="J43" s="505"/>
      <c r="K43" s="506"/>
      <c r="L43" s="506"/>
      <c r="M43" s="506"/>
      <c r="N43" s="504"/>
      <c r="O43" s="437"/>
      <c r="P43" s="437"/>
      <c r="Q43" s="437"/>
      <c r="R43" s="437"/>
      <c r="S43" s="437"/>
      <c r="T43" s="437"/>
      <c r="U43" s="437"/>
      <c r="V43" s="437"/>
    </row>
    <row r="44" spans="2:22" ht="15.75" customHeight="1" thickBot="1">
      <c r="B44" s="507"/>
      <c r="C44" s="507"/>
      <c r="D44" s="507"/>
      <c r="E44" s="508"/>
      <c r="F44" s="509"/>
      <c r="G44" s="509"/>
      <c r="H44" s="481"/>
      <c r="I44" s="507"/>
      <c r="J44" s="508"/>
      <c r="K44" s="509"/>
      <c r="L44" s="509"/>
      <c r="M44" s="509"/>
      <c r="N44" s="507"/>
      <c r="O44" s="437"/>
      <c r="P44" s="437"/>
      <c r="Q44" s="437"/>
      <c r="R44" s="437"/>
      <c r="S44" s="437"/>
      <c r="T44" s="437"/>
      <c r="U44" s="437"/>
      <c r="V44" s="437"/>
    </row>
    <row r="45" spans="2:22" ht="18" customHeight="1" thickTop="1">
      <c r="B45" s="480"/>
      <c r="C45" s="479"/>
      <c r="D45" s="479"/>
      <c r="E45" s="478" t="s">
        <v>1020</v>
      </c>
      <c r="F45" s="474">
        <f>SUM(F40:F44)</f>
        <v>0</v>
      </c>
      <c r="G45" s="474">
        <f>SUM(G40:G44)</f>
        <v>0</v>
      </c>
      <c r="H45" s="477"/>
      <c r="I45" s="476"/>
      <c r="J45" s="475"/>
      <c r="K45" s="474">
        <f>SUM(K40:K44)</f>
        <v>0</v>
      </c>
      <c r="L45" s="474">
        <f>SUM(L40:L44)</f>
        <v>0</v>
      </c>
      <c r="M45" s="474">
        <f>SUM(M40:M44)</f>
        <v>0</v>
      </c>
      <c r="N45" s="473"/>
      <c r="O45" s="437"/>
      <c r="P45" s="437"/>
      <c r="Q45" s="437"/>
      <c r="R45" s="437"/>
      <c r="S45" s="437"/>
      <c r="T45" s="437"/>
      <c r="U45" s="437"/>
      <c r="V45" s="437"/>
    </row>
    <row r="46" spans="2:22" ht="18" customHeight="1">
      <c r="B46" s="472"/>
      <c r="C46" s="471"/>
      <c r="D46" s="471"/>
      <c r="E46" s="470" t="s">
        <v>1019</v>
      </c>
      <c r="F46" s="469">
        <f>SUM(F20,F31,F38,F45)</f>
        <v>0</v>
      </c>
      <c r="G46" s="469">
        <f>SUM(G20,G31,G38,G45)</f>
        <v>0</v>
      </c>
      <c r="H46" s="461"/>
      <c r="I46" s="458"/>
      <c r="J46" s="458"/>
      <c r="K46" s="458"/>
      <c r="L46" s="469">
        <f>SUM(L20,L31,L38,L45)</f>
        <v>0</v>
      </c>
      <c r="M46" s="469">
        <f>SUM(M20,M31,M38,M45)</f>
        <v>0</v>
      </c>
      <c r="N46" s="458"/>
      <c r="O46" s="437"/>
      <c r="P46" s="437"/>
      <c r="Q46" s="437"/>
      <c r="R46" s="437"/>
      <c r="S46" s="437"/>
      <c r="T46" s="437"/>
      <c r="U46" s="437"/>
      <c r="V46" s="437"/>
    </row>
    <row r="47" spans="2:22" ht="18" customHeight="1">
      <c r="B47" s="458"/>
      <c r="C47" s="458"/>
      <c r="D47" s="458"/>
      <c r="E47" s="458"/>
      <c r="F47" s="468" t="s">
        <v>1107</v>
      </c>
      <c r="G47" s="468"/>
      <c r="H47" s="467"/>
      <c r="I47" s="458"/>
      <c r="J47" s="458"/>
      <c r="K47" s="458"/>
      <c r="L47" s="466" t="s">
        <v>1016</v>
      </c>
      <c r="M47" s="465"/>
      <c r="N47" s="458"/>
      <c r="O47" s="437"/>
      <c r="P47" s="437"/>
      <c r="Q47" s="437"/>
      <c r="R47" s="437"/>
      <c r="S47" s="437"/>
      <c r="T47" s="437"/>
      <c r="U47" s="437"/>
      <c r="V47" s="437"/>
    </row>
    <row r="48" spans="2:22" ht="18" customHeight="1">
      <c r="B48" s="464"/>
      <c r="C48" s="464"/>
      <c r="D48" s="464"/>
      <c r="E48" s="463" t="s">
        <v>1106</v>
      </c>
      <c r="F48" s="462"/>
      <c r="G48" s="459">
        <f>SUM(F46,G46)</f>
        <v>0</v>
      </c>
      <c r="H48" s="461"/>
      <c r="I48" s="458"/>
      <c r="J48" s="458"/>
      <c r="K48" s="458"/>
      <c r="L48" s="460"/>
      <c r="M48" s="459">
        <f>SUM(L46,M46)</f>
        <v>0</v>
      </c>
      <c r="N48" s="458"/>
      <c r="O48" s="437"/>
      <c r="P48" s="437"/>
      <c r="Q48" s="437"/>
      <c r="R48" s="437"/>
      <c r="S48" s="437"/>
      <c r="T48" s="437"/>
      <c r="U48" s="437"/>
      <c r="V48" s="437"/>
    </row>
    <row r="49" spans="2:22" ht="15.75" customHeight="1">
      <c r="B49" s="437"/>
      <c r="C49" s="437"/>
      <c r="D49" s="437"/>
      <c r="E49" s="437"/>
      <c r="F49" s="437"/>
      <c r="G49" s="437"/>
      <c r="H49" s="437"/>
      <c r="I49" s="437"/>
      <c r="J49" s="437"/>
      <c r="K49" s="437"/>
      <c r="L49" s="437"/>
      <c r="M49" s="437"/>
      <c r="N49" s="437"/>
      <c r="O49" s="437"/>
      <c r="P49" s="437"/>
      <c r="Q49" s="437"/>
      <c r="R49" s="437"/>
      <c r="S49" s="437"/>
      <c r="T49" s="437"/>
      <c r="U49" s="437"/>
      <c r="V49" s="437"/>
    </row>
    <row r="50" spans="2:22" ht="15.75" customHeight="1">
      <c r="B50" s="437"/>
      <c r="C50" s="437"/>
      <c r="D50" s="437"/>
      <c r="E50" s="437"/>
      <c r="F50" s="437"/>
      <c r="G50" s="437"/>
      <c r="H50" s="437"/>
      <c r="I50" s="437"/>
      <c r="J50" s="437"/>
      <c r="K50" s="437"/>
      <c r="L50" s="437"/>
      <c r="M50" s="437"/>
      <c r="N50" s="437"/>
      <c r="O50" s="437"/>
      <c r="P50" s="437"/>
      <c r="Q50" s="437"/>
      <c r="R50" s="437"/>
      <c r="S50" s="437"/>
      <c r="T50" s="437"/>
      <c r="U50" s="437"/>
      <c r="V50" s="437"/>
    </row>
    <row r="51" spans="2:22" ht="15.75" customHeight="1">
      <c r="B51" s="437"/>
      <c r="C51" s="437"/>
      <c r="D51" s="437"/>
      <c r="E51" s="437"/>
      <c r="F51" s="437"/>
      <c r="G51" s="437"/>
      <c r="H51" s="437"/>
      <c r="I51" s="437"/>
      <c r="J51" s="437"/>
      <c r="K51" s="437"/>
      <c r="L51" s="437"/>
      <c r="M51" s="437"/>
      <c r="N51" s="437"/>
      <c r="O51" s="437"/>
      <c r="P51" s="437"/>
      <c r="Q51" s="437"/>
      <c r="R51" s="437"/>
      <c r="S51" s="437"/>
      <c r="T51" s="437"/>
      <c r="U51" s="437"/>
      <c r="V51" s="437"/>
    </row>
    <row r="52" spans="2:22" ht="15.75" customHeight="1">
      <c r="B52" s="441" t="s">
        <v>1053</v>
      </c>
      <c r="C52" s="441"/>
      <c r="D52" s="440"/>
      <c r="E52" s="440"/>
      <c r="F52" s="440"/>
      <c r="G52" s="440"/>
      <c r="H52" s="440"/>
      <c r="I52" s="440"/>
      <c r="J52" s="440"/>
      <c r="K52" s="440"/>
      <c r="L52" s="440"/>
      <c r="M52" s="440"/>
      <c r="N52" s="457">
        <f>Instructions!J46</f>
        <v>45364</v>
      </c>
      <c r="O52" s="440"/>
      <c r="P52" s="440"/>
      <c r="Q52" s="584"/>
      <c r="R52" s="584"/>
      <c r="S52" s="437"/>
      <c r="T52" s="437"/>
      <c r="U52" s="437"/>
      <c r="V52" s="437"/>
    </row>
    <row r="53" spans="2:18" ht="6" customHeight="1">
      <c r="B53" s="438"/>
      <c r="C53" s="438"/>
      <c r="D53" s="438"/>
      <c r="E53" s="438"/>
      <c r="F53" s="438"/>
      <c r="G53" s="438"/>
      <c r="H53" s="438"/>
      <c r="I53" s="438"/>
      <c r="J53" s="438"/>
      <c r="K53" s="438"/>
      <c r="L53" s="438"/>
      <c r="M53" s="438"/>
      <c r="N53" s="438"/>
      <c r="O53" s="437"/>
      <c r="P53" s="437"/>
      <c r="Q53" s="437"/>
      <c r="R53" s="437"/>
    </row>
  </sheetData>
  <sheetProtection password="E71A" sheet="1" objects="1"/>
  <mergeCells count="4">
    <mergeCell ref="Q52:R52"/>
    <mergeCell ref="N6:N7"/>
    <mergeCell ref="B6:B7"/>
    <mergeCell ref="C6:C7"/>
  </mergeCells>
  <printOptions/>
  <pageMargins left="0.3937007874015748" right="0.3937007874015748" top="0.3937007874015748" bottom="0.5905511811023623" header="0.3937007874015748" footer="0.3937007874015748"/>
  <pageSetup fitToHeight="0" fitToWidth="1" horizontalDpi="600" verticalDpi="600" orientation="landscape" paperSize="5" scale="66" r:id="rId2"/>
  <headerFooter>
    <oddFooter>&amp;L&amp;"Arial Narrow,Gras"&amp;8Ministère de l’Environnement, de la Lutte contre les changements climatiques, de la Faune et des Parcs&amp;R&amp;"Arial Narrow,Gras"&amp;8 2023-05-25</oddFooter>
  </headerFooter>
  <drawing r:id="rId1"/>
</worksheet>
</file>

<file path=xl/worksheets/sheet4.xml><?xml version="1.0" encoding="utf-8"?>
<worksheet xmlns="http://schemas.openxmlformats.org/spreadsheetml/2006/main" xmlns:r="http://schemas.openxmlformats.org/officeDocument/2006/relationships">
  <sheetPr codeName="Feuil1"/>
  <dimension ref="A1:CG147"/>
  <sheetViews>
    <sheetView showGridLines="0" showRowColHeaders="0" zoomScaleSheetLayoutView="100" zoomScalePageLayoutView="0" workbookViewId="0" topLeftCell="A3">
      <selection activeCell="AI62" sqref="AI62:AP62"/>
    </sheetView>
  </sheetViews>
  <sheetFormatPr defaultColWidth="9.140625" defaultRowHeight="15" customHeight="1"/>
  <cols>
    <col min="1" max="1" width="2.421875" style="64" customWidth="1"/>
    <col min="2" max="2" width="3.421875" style="120" customWidth="1"/>
    <col min="3" max="3" width="0.5625" style="64" customWidth="1"/>
    <col min="4" max="22" width="3.421875" style="64" customWidth="1"/>
    <col min="23" max="23" width="3.00390625" style="64" customWidth="1"/>
    <col min="24" max="35" width="3.421875" style="64" customWidth="1"/>
    <col min="36" max="36" width="4.421875" style="64" customWidth="1"/>
    <col min="37" max="37" width="3.421875" style="64" customWidth="1"/>
    <col min="38" max="38" width="0.13671875" style="64" customWidth="1"/>
    <col min="39" max="42" width="3.421875" style="64" customWidth="1"/>
    <col min="43" max="43" width="0.71875" style="64" customWidth="1"/>
    <col min="44" max="44" width="4.8515625" style="64" bestFit="1" customWidth="1"/>
    <col min="45" max="45" width="0.71875" style="64" customWidth="1"/>
    <col min="46" max="56" width="9.140625" style="63" customWidth="1"/>
    <col min="57" max="16384" width="9.140625" style="64" customWidth="1"/>
  </cols>
  <sheetData>
    <row r="1" spans="1:45" ht="15" customHeight="1">
      <c r="A1" s="63"/>
      <c r="B1" s="119"/>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row>
    <row r="2" spans="1:85" ht="15" customHeight="1">
      <c r="A2" s="63"/>
      <c r="B2" s="737" t="s">
        <v>1014</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63"/>
      <c r="CG2" s="64" t="e">
        <f>Formulaire</f>
        <v>#NAME?</v>
      </c>
    </row>
    <row r="3" spans="1:45" ht="15" customHeight="1">
      <c r="A3" s="63"/>
      <c r="B3" s="737" t="s">
        <v>1051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63"/>
    </row>
    <row r="4" s="63" customFormat="1" ht="3" customHeight="1">
      <c r="B4" s="119"/>
    </row>
    <row r="5" spans="2:9" s="63" customFormat="1" ht="3" customHeight="1">
      <c r="B5" s="119"/>
      <c r="I5" s="63" t="str">
        <f>'1. Demande'!AA18</f>
        <v> Prénom</v>
      </c>
    </row>
    <row r="6" s="63" customFormat="1" ht="3" customHeight="1" thickBot="1">
      <c r="B6" s="119"/>
    </row>
    <row r="7" spans="1:45" ht="3" customHeight="1">
      <c r="A7" s="1"/>
      <c r="B7" s="801" t="s">
        <v>0</v>
      </c>
      <c r="C7" s="2"/>
      <c r="D7" s="3"/>
      <c r="E7" s="3"/>
      <c r="F7" s="3"/>
      <c r="G7" s="3"/>
      <c r="H7" s="3"/>
      <c r="I7" s="3"/>
      <c r="J7" s="3"/>
      <c r="K7" s="3"/>
      <c r="L7" s="3"/>
      <c r="M7" s="3"/>
      <c r="N7" s="3"/>
      <c r="O7" s="3"/>
      <c r="P7" s="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5"/>
    </row>
    <row r="8" spans="1:45" ht="15" customHeight="1">
      <c r="A8" s="1"/>
      <c r="B8" s="802"/>
      <c r="C8" s="6" t="s">
        <v>1</v>
      </c>
      <c r="D8" s="7" t="s">
        <v>133</v>
      </c>
      <c r="E8" s="8"/>
      <c r="F8" s="8"/>
      <c r="G8" s="8"/>
      <c r="H8" s="743">
        <f>IF(Demande!B7=0,"",Demande!B7)</f>
      </c>
      <c r="I8" s="744"/>
      <c r="J8" s="744"/>
      <c r="K8" s="744"/>
      <c r="L8" s="744"/>
      <c r="M8" s="744"/>
      <c r="N8" s="744"/>
      <c r="O8" s="744"/>
      <c r="P8" s="744"/>
      <c r="Q8" s="744"/>
      <c r="R8" s="744"/>
      <c r="S8" s="744"/>
      <c r="T8" s="744"/>
      <c r="U8" s="744"/>
      <c r="V8" s="744"/>
      <c r="W8" s="744"/>
      <c r="X8" s="744"/>
      <c r="Y8" s="744"/>
      <c r="Z8" s="744"/>
      <c r="AA8" s="744"/>
      <c r="AB8" s="744"/>
      <c r="AC8" s="744"/>
      <c r="AD8" s="745"/>
      <c r="AE8" s="9"/>
      <c r="AF8" s="1"/>
      <c r="AG8" s="1"/>
      <c r="AH8" s="1"/>
      <c r="AI8" s="10"/>
      <c r="AJ8" s="10"/>
      <c r="AK8" s="10"/>
      <c r="AL8" s="11"/>
      <c r="AM8" s="65"/>
      <c r="AN8" s="65"/>
      <c r="AO8" s="65"/>
      <c r="AP8" s="65"/>
      <c r="AQ8" s="65"/>
      <c r="AR8" s="65"/>
      <c r="AS8" s="12"/>
    </row>
    <row r="9" spans="1:45" ht="3" customHeight="1">
      <c r="A9" s="1"/>
      <c r="B9" s="802"/>
      <c r="C9" s="6"/>
      <c r="D9" s="7"/>
      <c r="E9" s="8"/>
      <c r="F9" s="8"/>
      <c r="G9" s="8"/>
      <c r="H9" s="13"/>
      <c r="I9" s="13"/>
      <c r="J9" s="13"/>
      <c r="K9" s="13"/>
      <c r="L9" s="13"/>
      <c r="M9" s="13"/>
      <c r="N9" s="13"/>
      <c r="O9" s="13"/>
      <c r="P9" s="13"/>
      <c r="Q9" s="13"/>
      <c r="R9" s="13"/>
      <c r="S9" s="13"/>
      <c r="T9" s="13"/>
      <c r="U9" s="13"/>
      <c r="V9" s="13"/>
      <c r="W9" s="13"/>
      <c r="X9" s="13"/>
      <c r="Y9" s="13"/>
      <c r="Z9" s="13"/>
      <c r="AA9" s="13"/>
      <c r="AB9" s="13"/>
      <c r="AC9" s="13"/>
      <c r="AD9" s="14"/>
      <c r="AE9" s="9"/>
      <c r="AF9" s="66"/>
      <c r="AG9" s="66"/>
      <c r="AH9" s="66"/>
      <c r="AI9" s="66"/>
      <c r="AJ9" s="66"/>
      <c r="AK9" s="66"/>
      <c r="AL9" s="66"/>
      <c r="AM9" s="66"/>
      <c r="AN9" s="66"/>
      <c r="AO9" s="66"/>
      <c r="AP9" s="66"/>
      <c r="AQ9" s="66"/>
      <c r="AR9" s="66"/>
      <c r="AS9" s="12"/>
    </row>
    <row r="10" spans="1:45" ht="15" customHeight="1">
      <c r="A10" s="1"/>
      <c r="B10" s="802"/>
      <c r="C10" s="6"/>
      <c r="D10" s="7" t="s">
        <v>2</v>
      </c>
      <c r="E10" s="8"/>
      <c r="F10" s="8"/>
      <c r="G10" s="8"/>
      <c r="H10" s="743">
        <f>IF(Demande!B9=0,"",Demande!B9)</f>
      </c>
      <c r="I10" s="744"/>
      <c r="J10" s="744"/>
      <c r="K10" s="744"/>
      <c r="L10" s="744"/>
      <c r="M10" s="744"/>
      <c r="N10" s="744"/>
      <c r="O10" s="744"/>
      <c r="P10" s="744"/>
      <c r="Q10" s="744"/>
      <c r="R10" s="744"/>
      <c r="S10" s="744"/>
      <c r="T10" s="744"/>
      <c r="U10" s="744"/>
      <c r="V10" s="744"/>
      <c r="W10" s="744"/>
      <c r="X10" s="744"/>
      <c r="Y10" s="744"/>
      <c r="Z10" s="744"/>
      <c r="AA10" s="744"/>
      <c r="AB10" s="744"/>
      <c r="AC10" s="744"/>
      <c r="AD10" s="745"/>
      <c r="AE10" s="9" t="s">
        <v>180</v>
      </c>
      <c r="AF10" s="1"/>
      <c r="AG10" s="1"/>
      <c r="AH10" s="1"/>
      <c r="AI10" s="740">
        <f>IF(Demande!P7=0,"",Demande!P7)</f>
      </c>
      <c r="AJ10" s="741"/>
      <c r="AK10" s="741"/>
      <c r="AL10" s="741"/>
      <c r="AM10" s="741"/>
      <c r="AN10" s="741"/>
      <c r="AO10" s="741"/>
      <c r="AP10" s="742"/>
      <c r="AQ10" s="66"/>
      <c r="AR10" s="66"/>
      <c r="AS10" s="12"/>
    </row>
    <row r="11" spans="1:45" ht="3" customHeight="1">
      <c r="A11" s="1"/>
      <c r="B11" s="802"/>
      <c r="C11" s="6"/>
      <c r="D11" s="7"/>
      <c r="E11" s="8"/>
      <c r="F11" s="8"/>
      <c r="G11" s="8"/>
      <c r="H11" s="15"/>
      <c r="I11" s="15"/>
      <c r="J11" s="15"/>
      <c r="K11" s="15"/>
      <c r="L11" s="15"/>
      <c r="M11" s="15"/>
      <c r="N11" s="15"/>
      <c r="O11" s="15"/>
      <c r="P11" s="15"/>
      <c r="Q11" s="15"/>
      <c r="R11" s="15"/>
      <c r="S11" s="15"/>
      <c r="T11" s="15"/>
      <c r="U11" s="15"/>
      <c r="V11" s="15"/>
      <c r="W11" s="15"/>
      <c r="X11" s="15"/>
      <c r="Y11" s="8"/>
      <c r="Z11" s="8"/>
      <c r="AA11" s="8"/>
      <c r="AB11" s="8"/>
      <c r="AC11" s="16"/>
      <c r="AD11" s="14"/>
      <c r="AE11" s="14"/>
      <c r="AF11" s="14"/>
      <c r="AG11" s="14"/>
      <c r="AH11" s="14"/>
      <c r="AI11" s="17"/>
      <c r="AJ11" s="17"/>
      <c r="AK11" s="17"/>
      <c r="AL11" s="17"/>
      <c r="AM11" s="17"/>
      <c r="AN11" s="17"/>
      <c r="AO11" s="17"/>
      <c r="AP11" s="17"/>
      <c r="AQ11" s="1"/>
      <c r="AR11" s="1"/>
      <c r="AS11" s="12"/>
    </row>
    <row r="12" spans="1:45" ht="15" customHeight="1">
      <c r="A12" s="1"/>
      <c r="B12" s="802"/>
      <c r="C12" s="18"/>
      <c r="D12" s="7" t="s">
        <v>3</v>
      </c>
      <c r="E12" s="1"/>
      <c r="F12" s="1"/>
      <c r="G12" s="1"/>
      <c r="H12" s="743">
        <f>IF(Demande!B11=0,"",Demande!B11)</f>
      </c>
      <c r="I12" s="744"/>
      <c r="J12" s="744"/>
      <c r="K12" s="744"/>
      <c r="L12" s="744"/>
      <c r="M12" s="744"/>
      <c r="N12" s="744"/>
      <c r="O12" s="744"/>
      <c r="P12" s="744"/>
      <c r="Q12" s="744"/>
      <c r="R12" s="744"/>
      <c r="S12" s="744"/>
      <c r="T12" s="744"/>
      <c r="U12" s="745"/>
      <c r="V12" s="1"/>
      <c r="W12" s="1"/>
      <c r="X12" s="1"/>
      <c r="Y12" s="19" t="s">
        <v>4</v>
      </c>
      <c r="Z12" s="746">
        <f>IF(Demande!P11=0,"",Demande!P11)</f>
      </c>
      <c r="AA12" s="747"/>
      <c r="AB12" s="747"/>
      <c r="AC12" s="747"/>
      <c r="AD12" s="748"/>
      <c r="AE12" s="9" t="s">
        <v>182</v>
      </c>
      <c r="AF12" s="1"/>
      <c r="AG12" s="1"/>
      <c r="AH12" s="1"/>
      <c r="AI12" s="740">
        <v>0</v>
      </c>
      <c r="AJ12" s="741"/>
      <c r="AK12" s="741"/>
      <c r="AL12" s="741"/>
      <c r="AM12" s="741"/>
      <c r="AN12" s="741"/>
      <c r="AO12" s="741"/>
      <c r="AP12" s="742"/>
      <c r="AQ12" s="1"/>
      <c r="AR12" s="1"/>
      <c r="AS12" s="12"/>
    </row>
    <row r="13" spans="1:45" ht="3" customHeight="1">
      <c r="A13" s="1"/>
      <c r="B13" s="802"/>
      <c r="C13" s="18"/>
      <c r="D13" s="8"/>
      <c r="E13" s="8"/>
      <c r="F13" s="8"/>
      <c r="G13" s="8"/>
      <c r="H13" s="10"/>
      <c r="I13" s="10"/>
      <c r="J13" s="10"/>
      <c r="K13" s="10"/>
      <c r="L13" s="10"/>
      <c r="M13" s="10"/>
      <c r="N13" s="10"/>
      <c r="O13" s="10"/>
      <c r="P13" s="10"/>
      <c r="Q13" s="10"/>
      <c r="R13" s="10"/>
      <c r="S13" s="10"/>
      <c r="T13" s="10"/>
      <c r="U13" s="8"/>
      <c r="V13" s="8"/>
      <c r="W13" s="8"/>
      <c r="X13" s="8"/>
      <c r="Y13" s="11"/>
      <c r="Z13" s="67"/>
      <c r="AA13" s="67"/>
      <c r="AB13" s="67"/>
      <c r="AC13" s="67"/>
      <c r="AD13" s="67"/>
      <c r="AE13" s="15"/>
      <c r="AF13" s="8"/>
      <c r="AG13" s="8"/>
      <c r="AH13" s="8"/>
      <c r="AI13" s="10"/>
      <c r="AJ13" s="10"/>
      <c r="AK13" s="10"/>
      <c r="AL13" s="11"/>
      <c r="AM13" s="65"/>
      <c r="AN13" s="65"/>
      <c r="AO13" s="65"/>
      <c r="AP13" s="65"/>
      <c r="AQ13" s="1"/>
      <c r="AR13" s="65"/>
      <c r="AS13" s="12"/>
    </row>
    <row r="14" spans="1:45" ht="15" customHeight="1">
      <c r="A14" s="1"/>
      <c r="B14" s="802"/>
      <c r="C14" s="18"/>
      <c r="D14" s="804" t="s">
        <v>5</v>
      </c>
      <c r="E14" s="805"/>
      <c r="F14" s="805"/>
      <c r="G14" s="805"/>
      <c r="H14" s="805"/>
      <c r="I14" s="805"/>
      <c r="J14" s="805"/>
      <c r="K14" s="805"/>
      <c r="L14" s="805"/>
      <c r="M14" s="805"/>
      <c r="N14" s="805"/>
      <c r="O14" s="805"/>
      <c r="P14" s="805"/>
      <c r="Q14" s="805"/>
      <c r="R14" s="805"/>
      <c r="S14" s="805"/>
      <c r="T14" s="805"/>
      <c r="U14" s="805"/>
      <c r="V14" s="805"/>
      <c r="W14" s="8"/>
      <c r="X14" s="8"/>
      <c r="Y14" s="11"/>
      <c r="Z14" s="67"/>
      <c r="AA14" s="67"/>
      <c r="AB14" s="67"/>
      <c r="AC14" s="67"/>
      <c r="AD14" s="68" t="b">
        <v>1</v>
      </c>
      <c r="AE14" s="15"/>
      <c r="AF14" s="8"/>
      <c r="AG14" s="8"/>
      <c r="AH14" s="8"/>
      <c r="AI14" s="10"/>
      <c r="AJ14" s="10"/>
      <c r="AK14" s="10"/>
      <c r="AL14" s="11"/>
      <c r="AM14" s="65"/>
      <c r="AN14" s="65"/>
      <c r="AO14" s="65"/>
      <c r="AP14" s="65"/>
      <c r="AQ14" s="65"/>
      <c r="AR14" s="65"/>
      <c r="AS14" s="12"/>
    </row>
    <row r="15" spans="1:45" ht="77.25" customHeight="1">
      <c r="A15" s="1"/>
      <c r="B15" s="802"/>
      <c r="C15" s="18"/>
      <c r="D15" s="790"/>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2"/>
      <c r="AQ15" s="65"/>
      <c r="AR15" s="65"/>
      <c r="AS15" s="12"/>
    </row>
    <row r="16" spans="1:45" ht="3" customHeight="1" thickBot="1">
      <c r="A16" s="1"/>
      <c r="B16" s="803"/>
      <c r="C16" s="20"/>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21"/>
      <c r="AS16" s="22"/>
    </row>
    <row r="17" spans="1:45" ht="3" customHeight="1">
      <c r="A17" s="1"/>
      <c r="B17" s="870" t="s">
        <v>6</v>
      </c>
      <c r="C17" s="18"/>
      <c r="D17" s="2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5"/>
    </row>
    <row r="18" spans="1:45" ht="15" customHeight="1">
      <c r="A18" s="1"/>
      <c r="B18" s="856"/>
      <c r="C18" s="18"/>
      <c r="D18" s="7" t="s">
        <v>7</v>
      </c>
      <c r="E18" s="8"/>
      <c r="F18" s="69"/>
      <c r="G18" s="69"/>
      <c r="H18" s="807">
        <f>IF(Demande!B17=0,"",Demande!B17)</f>
      </c>
      <c r="I18" s="808"/>
      <c r="J18" s="809"/>
      <c r="K18" s="70"/>
      <c r="L18" s="19" t="s">
        <v>9</v>
      </c>
      <c r="M18" s="749">
        <f>IF(Demande!D17=0,"",Demande!D17)</f>
      </c>
      <c r="N18" s="750"/>
      <c r="O18" s="750"/>
      <c r="P18" s="750"/>
      <c r="Q18" s="750"/>
      <c r="R18" s="750"/>
      <c r="S18" s="750"/>
      <c r="T18" s="750"/>
      <c r="U18" s="750"/>
      <c r="V18" s="750"/>
      <c r="W18" s="750"/>
      <c r="X18" s="750"/>
      <c r="Y18" s="750"/>
      <c r="Z18" s="751"/>
      <c r="AA18" s="7" t="s">
        <v>10</v>
      </c>
      <c r="AB18" s="71"/>
      <c r="AC18" s="794">
        <f>IF(Demande!L17=0,"",Demande!L17)</f>
      </c>
      <c r="AD18" s="795"/>
      <c r="AE18" s="795"/>
      <c r="AF18" s="795"/>
      <c r="AG18" s="795"/>
      <c r="AH18" s="795"/>
      <c r="AI18" s="795"/>
      <c r="AJ18" s="795"/>
      <c r="AK18" s="795"/>
      <c r="AL18" s="795"/>
      <c r="AM18" s="795"/>
      <c r="AN18" s="795"/>
      <c r="AO18" s="795"/>
      <c r="AP18" s="796"/>
      <c r="AQ18" s="738"/>
      <c r="AR18" s="739"/>
      <c r="AS18" s="12"/>
    </row>
    <row r="19" spans="1:45" ht="3" customHeight="1">
      <c r="A19" s="1"/>
      <c r="B19" s="856"/>
      <c r="C19" s="18"/>
      <c r="D19" s="7"/>
      <c r="E19" s="8"/>
      <c r="F19" s="8"/>
      <c r="G19" s="8"/>
      <c r="H19" s="8"/>
      <c r="I19" s="8"/>
      <c r="J19" s="8"/>
      <c r="K19" s="1"/>
      <c r="L19" s="10"/>
      <c r="M19" s="10"/>
      <c r="N19" s="10"/>
      <c r="O19" s="10"/>
      <c r="P19" s="10"/>
      <c r="Q19" s="10"/>
      <c r="R19" s="10"/>
      <c r="S19" s="10"/>
      <c r="T19" s="10"/>
      <c r="U19" s="10"/>
      <c r="V19" s="10"/>
      <c r="W19" s="10"/>
      <c r="X19" s="10"/>
      <c r="Y19" s="10"/>
      <c r="Z19" s="10"/>
      <c r="AA19" s="10"/>
      <c r="AB19" s="10"/>
      <c r="AC19" s="10"/>
      <c r="AD19" s="9"/>
      <c r="AE19" s="1"/>
      <c r="AF19" s="8"/>
      <c r="AG19" s="1"/>
      <c r="AH19" s="1"/>
      <c r="AI19" s="50"/>
      <c r="AJ19" s="50"/>
      <c r="AK19" s="50"/>
      <c r="AL19" s="50"/>
      <c r="AM19" s="50"/>
      <c r="AN19" s="50"/>
      <c r="AO19" s="50"/>
      <c r="AP19" s="50"/>
      <c r="AQ19" s="72"/>
      <c r="AR19" s="73"/>
      <c r="AS19" s="12"/>
    </row>
    <row r="20" spans="1:45" ht="15" customHeight="1">
      <c r="A20" s="1"/>
      <c r="B20" s="856"/>
      <c r="C20" s="70"/>
      <c r="D20" s="7" t="s">
        <v>11</v>
      </c>
      <c r="E20" s="1"/>
      <c r="F20" s="8"/>
      <c r="G20" s="1"/>
      <c r="H20" s="743">
        <f>IF(Demande!B19=0,"",Demande!B19)</f>
      </c>
      <c r="I20" s="744"/>
      <c r="J20" s="744"/>
      <c r="K20" s="744"/>
      <c r="L20" s="744"/>
      <c r="M20" s="744"/>
      <c r="N20" s="744"/>
      <c r="O20" s="744"/>
      <c r="P20" s="744"/>
      <c r="Q20" s="744"/>
      <c r="R20" s="744"/>
      <c r="S20" s="744"/>
      <c r="T20" s="744"/>
      <c r="U20" s="744"/>
      <c r="V20" s="744"/>
      <c r="W20" s="744"/>
      <c r="X20" s="744"/>
      <c r="Y20" s="744"/>
      <c r="Z20" s="745"/>
      <c r="AA20" s="7" t="s">
        <v>12</v>
      </c>
      <c r="AB20" s="11"/>
      <c r="AC20" s="864">
        <f>IF(Demande!B21=0,"",Demande!B21)</f>
      </c>
      <c r="AD20" s="744"/>
      <c r="AE20" s="744"/>
      <c r="AF20" s="744"/>
      <c r="AG20" s="744"/>
      <c r="AH20" s="744"/>
      <c r="AI20" s="744"/>
      <c r="AJ20" s="744"/>
      <c r="AK20" s="744"/>
      <c r="AL20" s="744"/>
      <c r="AM20" s="744"/>
      <c r="AN20" s="744"/>
      <c r="AO20" s="744"/>
      <c r="AP20" s="745"/>
      <c r="AR20" s="65"/>
      <c r="AS20" s="12"/>
    </row>
    <row r="21" spans="1:45" ht="3" customHeight="1">
      <c r="A21" s="1"/>
      <c r="B21" s="856"/>
      <c r="C21" s="18"/>
      <c r="D21" s="24"/>
      <c r="E21" s="25"/>
      <c r="F21" s="25"/>
      <c r="G21" s="25"/>
      <c r="H21" s="26"/>
      <c r="I21" s="26"/>
      <c r="J21" s="26"/>
      <c r="K21" s="26"/>
      <c r="L21" s="26"/>
      <c r="M21" s="26"/>
      <c r="N21" s="26"/>
      <c r="O21" s="26"/>
      <c r="P21" s="26"/>
      <c r="Q21" s="26"/>
      <c r="R21" s="26"/>
      <c r="S21" s="26"/>
      <c r="T21" s="26"/>
      <c r="U21" s="26"/>
      <c r="V21" s="26"/>
      <c r="W21" s="26"/>
      <c r="X21" s="26"/>
      <c r="Y21" s="25"/>
      <c r="Z21" s="25"/>
      <c r="AA21" s="25"/>
      <c r="AB21" s="25"/>
      <c r="AC21" s="25"/>
      <c r="AD21" s="24"/>
      <c r="AE21" s="8"/>
      <c r="AF21" s="8"/>
      <c r="AG21" s="8"/>
      <c r="AH21" s="8"/>
      <c r="AI21" s="8"/>
      <c r="AJ21" s="8"/>
      <c r="AK21" s="8"/>
      <c r="AL21" s="8"/>
      <c r="AM21" s="8"/>
      <c r="AN21" s="8"/>
      <c r="AO21" s="8"/>
      <c r="AP21" s="8"/>
      <c r="AQ21" s="8"/>
      <c r="AR21" s="70"/>
      <c r="AS21" s="12"/>
    </row>
    <row r="22" spans="1:56" s="113" customFormat="1" ht="15">
      <c r="A22" s="109"/>
      <c r="B22" s="856"/>
      <c r="C22" s="27"/>
      <c r="D22" s="24"/>
      <c r="E22" s="25"/>
      <c r="F22" s="25"/>
      <c r="G22" s="25"/>
      <c r="H22" s="26"/>
      <c r="I22" s="26"/>
      <c r="J22" s="26"/>
      <c r="K22" s="26"/>
      <c r="L22" s="26"/>
      <c r="M22" s="26"/>
      <c r="N22" s="26"/>
      <c r="O22" s="26"/>
      <c r="P22" s="26"/>
      <c r="Q22" s="26"/>
      <c r="R22" s="26"/>
      <c r="S22" s="26"/>
      <c r="T22" s="26"/>
      <c r="U22" s="26"/>
      <c r="V22" s="26"/>
      <c r="W22" s="26"/>
      <c r="X22" s="26"/>
      <c r="Y22" s="25"/>
      <c r="Z22" s="25"/>
      <c r="AA22" s="25"/>
      <c r="AB22" s="25"/>
      <c r="AC22" s="25"/>
      <c r="AD22" s="24"/>
      <c r="AE22" s="8"/>
      <c r="AF22" s="8"/>
      <c r="AG22" s="8"/>
      <c r="AH22" s="8"/>
      <c r="AI22" s="8"/>
      <c r="AJ22" s="8"/>
      <c r="AK22" s="8"/>
      <c r="AL22" s="8"/>
      <c r="AM22" s="8"/>
      <c r="AN22" s="8"/>
      <c r="AO22" s="8"/>
      <c r="AP22" s="8"/>
      <c r="AQ22" s="8"/>
      <c r="AR22" s="65"/>
      <c r="AS22" s="22"/>
      <c r="AT22" s="112"/>
      <c r="AU22" s="112"/>
      <c r="AV22" s="112"/>
      <c r="AW22" s="112"/>
      <c r="AX22" s="112"/>
      <c r="AY22" s="112"/>
      <c r="AZ22" s="112"/>
      <c r="BA22" s="112"/>
      <c r="BB22" s="112"/>
      <c r="BC22" s="112"/>
      <c r="BD22" s="112"/>
    </row>
    <row r="23" spans="1:56" s="113" customFormat="1" ht="3" customHeight="1">
      <c r="A23" s="109"/>
      <c r="B23" s="856"/>
      <c r="C23" s="27"/>
      <c r="D23" s="24"/>
      <c r="E23" s="25"/>
      <c r="F23" s="25"/>
      <c r="G23" s="25"/>
      <c r="H23" s="26"/>
      <c r="I23" s="26"/>
      <c r="J23" s="26"/>
      <c r="K23" s="26"/>
      <c r="L23" s="26"/>
      <c r="M23" s="26"/>
      <c r="N23" s="26"/>
      <c r="O23" s="26"/>
      <c r="P23" s="26"/>
      <c r="Q23" s="26"/>
      <c r="R23" s="26"/>
      <c r="S23" s="26"/>
      <c r="T23" s="26"/>
      <c r="U23" s="26"/>
      <c r="V23" s="26"/>
      <c r="W23" s="26"/>
      <c r="X23" s="26"/>
      <c r="Y23" s="25"/>
      <c r="Z23" s="25"/>
      <c r="AA23" s="25"/>
      <c r="AB23" s="25"/>
      <c r="AC23" s="25"/>
      <c r="AD23" s="24"/>
      <c r="AE23" s="8"/>
      <c r="AF23" s="8"/>
      <c r="AG23" s="8"/>
      <c r="AH23" s="8"/>
      <c r="AI23" s="8"/>
      <c r="AJ23" s="8"/>
      <c r="AK23" s="8"/>
      <c r="AL23" s="8"/>
      <c r="AM23" s="8"/>
      <c r="AN23" s="8"/>
      <c r="AO23" s="8"/>
      <c r="AP23" s="8"/>
      <c r="AQ23" s="8"/>
      <c r="AR23" s="70"/>
      <c r="AS23" s="22"/>
      <c r="AT23" s="112"/>
      <c r="AU23" s="112"/>
      <c r="AV23" s="112"/>
      <c r="AW23" s="112"/>
      <c r="AX23" s="112"/>
      <c r="AY23" s="112"/>
      <c r="AZ23" s="112"/>
      <c r="BA23" s="112"/>
      <c r="BB23" s="112"/>
      <c r="BC23" s="112"/>
      <c r="BD23" s="112"/>
    </row>
    <row r="24" spans="1:45" ht="15" customHeight="1">
      <c r="A24" s="1"/>
      <c r="B24" s="856"/>
      <c r="C24" s="18"/>
      <c r="D24" s="7" t="s">
        <v>13</v>
      </c>
      <c r="E24" s="8"/>
      <c r="F24" s="8"/>
      <c r="G24" s="8"/>
      <c r="H24" s="743">
        <f>IF(Demande!H19=0,"",Demande!H19)</f>
      </c>
      <c r="I24" s="744"/>
      <c r="J24" s="744"/>
      <c r="K24" s="744"/>
      <c r="L24" s="744"/>
      <c r="M24" s="744"/>
      <c r="N24" s="744"/>
      <c r="O24" s="744"/>
      <c r="P24" s="744"/>
      <c r="Q24" s="744"/>
      <c r="R24" s="744"/>
      <c r="S24" s="744"/>
      <c r="T24" s="744"/>
      <c r="U24" s="744"/>
      <c r="V24" s="744"/>
      <c r="W24" s="744"/>
      <c r="X24" s="744"/>
      <c r="Y24" s="744"/>
      <c r="Z24" s="744"/>
      <c r="AA24" s="744"/>
      <c r="AB24" s="744"/>
      <c r="AC24" s="744"/>
      <c r="AD24" s="745"/>
      <c r="AE24" s="9" t="s">
        <v>180</v>
      </c>
      <c r="AF24" s="1"/>
      <c r="AG24" s="1"/>
      <c r="AH24" s="10"/>
      <c r="AI24" s="740">
        <f>IF(Demande!P19=0,"",Demande!P19)</f>
      </c>
      <c r="AJ24" s="741"/>
      <c r="AK24" s="741"/>
      <c r="AL24" s="741"/>
      <c r="AM24" s="741"/>
      <c r="AN24" s="741"/>
      <c r="AO24" s="741"/>
      <c r="AP24" s="742"/>
      <c r="AQ24" s="70"/>
      <c r="AR24" s="62" t="s">
        <v>14</v>
      </c>
      <c r="AS24" s="12"/>
    </row>
    <row r="25" spans="1:45" ht="3" customHeight="1">
      <c r="A25" s="1"/>
      <c r="B25" s="856"/>
      <c r="C25" s="27"/>
      <c r="D25" s="66"/>
      <c r="E25" s="66"/>
      <c r="F25" s="66"/>
      <c r="G25" s="6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66"/>
      <c r="AF25" s="66"/>
      <c r="AG25" s="66"/>
      <c r="AH25" s="66"/>
      <c r="AI25" s="66"/>
      <c r="AJ25" s="66"/>
      <c r="AK25" s="66"/>
      <c r="AL25" s="66"/>
      <c r="AM25" s="66"/>
      <c r="AN25" s="66"/>
      <c r="AO25" s="66"/>
      <c r="AP25" s="66"/>
      <c r="AQ25" s="66"/>
      <c r="AR25" s="66"/>
      <c r="AS25" s="12"/>
    </row>
    <row r="26" spans="1:50" ht="15" customHeight="1">
      <c r="A26" s="1"/>
      <c r="B26" s="856"/>
      <c r="C26" s="18"/>
      <c r="D26" s="7" t="s">
        <v>2</v>
      </c>
      <c r="E26" s="8"/>
      <c r="F26" s="8"/>
      <c r="G26" s="8"/>
      <c r="H26" s="743">
        <f>IF(Demande!B23=0,"",Demande!B23)</f>
      </c>
      <c r="I26" s="744"/>
      <c r="J26" s="744"/>
      <c r="K26" s="744"/>
      <c r="L26" s="744"/>
      <c r="M26" s="744"/>
      <c r="N26" s="744"/>
      <c r="O26" s="744"/>
      <c r="P26" s="744"/>
      <c r="Q26" s="744"/>
      <c r="R26" s="744"/>
      <c r="S26" s="744"/>
      <c r="T26" s="744"/>
      <c r="U26" s="744"/>
      <c r="V26" s="744"/>
      <c r="W26" s="744"/>
      <c r="X26" s="744"/>
      <c r="Y26" s="744"/>
      <c r="Z26" s="744"/>
      <c r="AA26" s="744"/>
      <c r="AB26" s="744"/>
      <c r="AC26" s="744"/>
      <c r="AD26" s="745"/>
      <c r="AE26" s="9" t="s">
        <v>15</v>
      </c>
      <c r="AF26" s="1"/>
      <c r="AG26" s="1"/>
      <c r="AH26" s="1"/>
      <c r="AI26" s="865">
        <f>IF(Demande!L21=0,"",Demande!L21)</f>
      </c>
      <c r="AJ26" s="866"/>
      <c r="AK26" s="866"/>
      <c r="AL26" s="866"/>
      <c r="AM26" s="866"/>
      <c r="AN26" s="866"/>
      <c r="AO26" s="866"/>
      <c r="AP26" s="867"/>
      <c r="AQ26" s="1"/>
      <c r="AR26" s="28">
        <f>IF(Demande!O21=0,"",Demande!O21)</f>
      </c>
      <c r="AS26" s="12"/>
      <c r="AU26" s="144"/>
      <c r="AV26" s="145"/>
      <c r="AW26" s="145"/>
      <c r="AX26" s="145"/>
    </row>
    <row r="27" spans="1:50" ht="3" customHeight="1">
      <c r="A27" s="1"/>
      <c r="B27" s="856"/>
      <c r="C27" s="18"/>
      <c r="D27" s="7"/>
      <c r="E27" s="8"/>
      <c r="F27" s="8"/>
      <c r="G27" s="8"/>
      <c r="H27" s="147"/>
      <c r="I27" s="147"/>
      <c r="J27" s="147"/>
      <c r="K27" s="147"/>
      <c r="L27" s="147"/>
      <c r="M27" s="147"/>
      <c r="N27" s="147"/>
      <c r="O27" s="147"/>
      <c r="P27" s="147"/>
      <c r="Q27" s="147"/>
      <c r="R27" s="147"/>
      <c r="S27" s="147"/>
      <c r="T27" s="147"/>
      <c r="U27" s="147"/>
      <c r="V27" s="147"/>
      <c r="W27" s="147"/>
      <c r="X27" s="147"/>
      <c r="Y27" s="147"/>
      <c r="Z27" s="147"/>
      <c r="AA27" s="147"/>
      <c r="AB27" s="147"/>
      <c r="AC27" s="147"/>
      <c r="AD27" s="148"/>
      <c r="AE27" s="1"/>
      <c r="AF27" s="1"/>
      <c r="AG27" s="1"/>
      <c r="AH27" s="1"/>
      <c r="AI27" s="50"/>
      <c r="AJ27" s="50"/>
      <c r="AK27" s="50"/>
      <c r="AL27" s="50"/>
      <c r="AM27" s="50"/>
      <c r="AN27" s="50"/>
      <c r="AO27" s="50"/>
      <c r="AP27" s="50"/>
      <c r="AQ27" s="1"/>
      <c r="AR27" s="74"/>
      <c r="AS27" s="12"/>
      <c r="AU27" s="144"/>
      <c r="AV27" s="145"/>
      <c r="AW27" s="145"/>
      <c r="AX27" s="145"/>
    </row>
    <row r="28" spans="1:50" ht="15" customHeight="1">
      <c r="A28" s="1"/>
      <c r="B28" s="856"/>
      <c r="C28" s="18"/>
      <c r="D28" s="7" t="s">
        <v>3</v>
      </c>
      <c r="E28" s="1"/>
      <c r="F28" s="1"/>
      <c r="G28" s="1"/>
      <c r="H28" s="743">
        <f>IF(Demande!B25=0,"",Demande!B25)</f>
      </c>
      <c r="I28" s="744"/>
      <c r="J28" s="744"/>
      <c r="K28" s="744"/>
      <c r="L28" s="744"/>
      <c r="M28" s="744"/>
      <c r="N28" s="744"/>
      <c r="O28" s="744"/>
      <c r="P28" s="744"/>
      <c r="Q28" s="744"/>
      <c r="R28" s="744"/>
      <c r="S28" s="744"/>
      <c r="T28" s="744"/>
      <c r="U28" s="745"/>
      <c r="V28" s="145"/>
      <c r="W28" s="145"/>
      <c r="X28" s="145"/>
      <c r="Y28" s="149" t="s">
        <v>4</v>
      </c>
      <c r="Z28" s="746">
        <f>IF(Demande!P25=0,"",Demande!P25)</f>
      </c>
      <c r="AA28" s="747"/>
      <c r="AB28" s="747"/>
      <c r="AC28" s="747"/>
      <c r="AD28" s="748"/>
      <c r="AE28" s="148" t="s">
        <v>18</v>
      </c>
      <c r="AF28" s="145"/>
      <c r="AG28" s="145"/>
      <c r="AH28" s="145"/>
      <c r="AI28" s="865">
        <f>IF(Demande!Q21=0,"",Demande!Q21)</f>
      </c>
      <c r="AJ28" s="866"/>
      <c r="AK28" s="866"/>
      <c r="AL28" s="866"/>
      <c r="AM28" s="866"/>
      <c r="AN28" s="866"/>
      <c r="AO28" s="866"/>
      <c r="AP28" s="867"/>
      <c r="AQ28" s="145"/>
      <c r="AR28" s="145"/>
      <c r="AS28" s="150"/>
      <c r="AT28" s="151"/>
      <c r="AU28"/>
      <c r="AV28" s="145"/>
      <c r="AW28" s="145"/>
      <c r="AX28" s="145"/>
    </row>
    <row r="29" spans="1:46" ht="3" customHeight="1" thickBot="1">
      <c r="A29" s="1"/>
      <c r="B29" s="871"/>
      <c r="C29" s="18"/>
      <c r="D29" s="7"/>
      <c r="E29" s="1"/>
      <c r="F29" s="1"/>
      <c r="G29" s="1"/>
      <c r="H29" s="147"/>
      <c r="I29" s="147"/>
      <c r="J29" s="147"/>
      <c r="K29" s="147"/>
      <c r="L29" s="147"/>
      <c r="M29" s="147"/>
      <c r="N29" s="147"/>
      <c r="O29" s="147"/>
      <c r="P29" s="147"/>
      <c r="Q29" s="147"/>
      <c r="R29" s="147"/>
      <c r="S29" s="147"/>
      <c r="T29" s="144"/>
      <c r="U29" s="145"/>
      <c r="V29" s="145"/>
      <c r="W29" s="145"/>
      <c r="X29" s="145"/>
      <c r="Y29" s="152"/>
      <c r="Z29" s="152"/>
      <c r="AA29" s="152"/>
      <c r="AB29" s="152"/>
      <c r="AC29" s="152"/>
      <c r="AD29" s="148"/>
      <c r="AE29" s="145"/>
      <c r="AF29" s="145"/>
      <c r="AG29" s="145"/>
      <c r="AH29" s="145"/>
      <c r="AI29" s="152"/>
      <c r="AJ29" s="152"/>
      <c r="AK29" s="152"/>
      <c r="AL29" s="152"/>
      <c r="AM29" s="152"/>
      <c r="AN29" s="152"/>
      <c r="AO29" s="152"/>
      <c r="AP29" s="152"/>
      <c r="AQ29" s="145"/>
      <c r="AR29" s="145"/>
      <c r="AS29" s="150"/>
      <c r="AT29" s="151"/>
    </row>
    <row r="30" spans="1:46" ht="3" customHeight="1">
      <c r="A30" s="1"/>
      <c r="B30" s="801" t="s">
        <v>16</v>
      </c>
      <c r="C30" s="2"/>
      <c r="D30" s="23"/>
      <c r="E30" s="3"/>
      <c r="F30" s="3"/>
      <c r="G30" s="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4"/>
      <c r="AT30" s="151"/>
    </row>
    <row r="31" spans="1:56" ht="15" customHeight="1">
      <c r="A31" s="1"/>
      <c r="B31" s="802"/>
      <c r="C31" s="18"/>
      <c r="D31" s="7"/>
      <c r="E31" s="8"/>
      <c r="F31" s="8"/>
      <c r="G31" s="8"/>
      <c r="H31" s="793" t="s">
        <v>17</v>
      </c>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7"/>
      <c r="AR31" s="797"/>
      <c r="AS31" s="150"/>
      <c r="AT31" s="144"/>
      <c r="AU31" s="145"/>
      <c r="AV31" s="145"/>
      <c r="BA31" s="112"/>
      <c r="BB31" s="112"/>
      <c r="BC31" s="112"/>
      <c r="BD31" s="112"/>
    </row>
    <row r="32" spans="1:56" ht="3" customHeight="1">
      <c r="A32" s="1"/>
      <c r="B32" s="802"/>
      <c r="C32" s="18"/>
      <c r="D32" s="7"/>
      <c r="E32" s="8"/>
      <c r="F32" s="8"/>
      <c r="G32" s="8"/>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50"/>
      <c r="AT32" s="144"/>
      <c r="AU32" s="145"/>
      <c r="AV32" s="145"/>
      <c r="BA32" s="112"/>
      <c r="BB32" s="112"/>
      <c r="BC32" s="112"/>
      <c r="BD32" s="112"/>
    </row>
    <row r="33" spans="1:56" ht="15" customHeight="1">
      <c r="A33" s="34"/>
      <c r="B33" s="806"/>
      <c r="C33" s="18"/>
      <c r="D33" s="7" t="s">
        <v>7</v>
      </c>
      <c r="E33" s="8"/>
      <c r="F33" s="71"/>
      <c r="G33" s="69"/>
      <c r="H33" s="807">
        <f>IF(Demande!B30=0,"",Demande!B30)</f>
      </c>
      <c r="I33" s="808"/>
      <c r="J33" s="809"/>
      <c r="K33" s="144"/>
      <c r="L33" s="149" t="s">
        <v>9</v>
      </c>
      <c r="M33" s="749">
        <f>IF(Demande!D30=0,"",Demande!D30)</f>
      </c>
      <c r="N33" s="750"/>
      <c r="O33" s="750"/>
      <c r="P33" s="750"/>
      <c r="Q33" s="750"/>
      <c r="R33" s="750"/>
      <c r="S33" s="750"/>
      <c r="T33" s="750"/>
      <c r="U33" s="750"/>
      <c r="V33" s="750"/>
      <c r="W33" s="750"/>
      <c r="X33" s="750"/>
      <c r="Y33" s="750"/>
      <c r="Z33" s="751"/>
      <c r="AA33" s="144" t="s">
        <v>10</v>
      </c>
      <c r="AB33" s="155"/>
      <c r="AC33" s="794">
        <f>IF(Demande!L30=0,"",Demande!L30)</f>
      </c>
      <c r="AD33" s="795"/>
      <c r="AE33" s="795"/>
      <c r="AF33" s="795"/>
      <c r="AG33" s="795"/>
      <c r="AH33" s="795"/>
      <c r="AI33" s="795"/>
      <c r="AJ33" s="795"/>
      <c r="AK33" s="795"/>
      <c r="AL33" s="795"/>
      <c r="AM33" s="795"/>
      <c r="AN33" s="795"/>
      <c r="AO33" s="795"/>
      <c r="AP33" s="796"/>
      <c r="AQ33" s="738"/>
      <c r="AR33" s="739"/>
      <c r="AS33" s="150"/>
      <c r="AT33" s="144"/>
      <c r="AU33" s="145"/>
      <c r="AV33"/>
      <c r="BA33" s="112"/>
      <c r="BB33" s="112"/>
      <c r="BC33" s="112"/>
      <c r="BD33" s="112"/>
    </row>
    <row r="34" spans="1:46" ht="3" customHeight="1">
      <c r="A34" s="34"/>
      <c r="B34" s="806"/>
      <c r="C34" s="18"/>
      <c r="D34" s="7"/>
      <c r="E34" s="8"/>
      <c r="F34" s="8"/>
      <c r="G34" s="8"/>
      <c r="H34" s="145"/>
      <c r="I34" s="145"/>
      <c r="J34" s="145"/>
      <c r="K34" s="145"/>
      <c r="L34" s="147"/>
      <c r="M34" s="147"/>
      <c r="N34" s="147"/>
      <c r="O34" s="147"/>
      <c r="P34" s="147"/>
      <c r="Q34" s="147"/>
      <c r="R34" s="147"/>
      <c r="S34" s="147"/>
      <c r="T34" s="147"/>
      <c r="U34" s="147"/>
      <c r="V34" s="147"/>
      <c r="W34" s="147"/>
      <c r="X34" s="147"/>
      <c r="Y34" s="147"/>
      <c r="Z34" s="147"/>
      <c r="AA34" s="147"/>
      <c r="AB34" s="147"/>
      <c r="AC34" s="147"/>
      <c r="AD34" s="148"/>
      <c r="AE34" s="145"/>
      <c r="AF34" s="145"/>
      <c r="AG34" s="145"/>
      <c r="AH34" s="145"/>
      <c r="AI34" s="152"/>
      <c r="AJ34" s="152"/>
      <c r="AK34" s="152"/>
      <c r="AL34" s="152"/>
      <c r="AM34" s="152"/>
      <c r="AN34" s="152"/>
      <c r="AO34" s="152"/>
      <c r="AP34" s="152"/>
      <c r="AQ34" s="156"/>
      <c r="AR34" s="157"/>
      <c r="AS34" s="150"/>
      <c r="AT34" s="151"/>
    </row>
    <row r="35" spans="1:46" ht="15" customHeight="1">
      <c r="A35" s="34"/>
      <c r="B35" s="806"/>
      <c r="C35" s="71"/>
      <c r="D35" s="7" t="s">
        <v>11</v>
      </c>
      <c r="E35" s="1"/>
      <c r="F35" s="8"/>
      <c r="G35" s="1"/>
      <c r="H35" s="743">
        <f>IF(Demande!B32=0,"",Demande!B32)</f>
      </c>
      <c r="I35" s="744"/>
      <c r="J35" s="744"/>
      <c r="K35" s="744"/>
      <c r="L35" s="744"/>
      <c r="M35" s="744"/>
      <c r="N35" s="744"/>
      <c r="O35" s="744"/>
      <c r="P35" s="744"/>
      <c r="Q35" s="744"/>
      <c r="R35" s="744"/>
      <c r="S35" s="744"/>
      <c r="T35" s="744"/>
      <c r="U35" s="744"/>
      <c r="V35" s="744"/>
      <c r="W35" s="744"/>
      <c r="X35" s="744"/>
      <c r="Y35" s="744"/>
      <c r="Z35" s="745"/>
      <c r="AA35" s="144" t="s">
        <v>12</v>
      </c>
      <c r="AB35" s="158"/>
      <c r="AC35" s="864">
        <f>IF(Demande!B34=0,"",Demande!B34)</f>
      </c>
      <c r="AD35" s="744"/>
      <c r="AE35" s="744"/>
      <c r="AF35" s="744"/>
      <c r="AG35" s="744"/>
      <c r="AH35" s="744"/>
      <c r="AI35" s="744"/>
      <c r="AJ35" s="744"/>
      <c r="AK35" s="744"/>
      <c r="AL35" s="744"/>
      <c r="AM35" s="744"/>
      <c r="AN35" s="744"/>
      <c r="AO35" s="744"/>
      <c r="AP35" s="745"/>
      <c r="AQ35" s="155"/>
      <c r="AR35" s="146"/>
      <c r="AS35" s="150"/>
      <c r="AT35" s="151"/>
    </row>
    <row r="36" spans="1:46" ht="3" customHeight="1">
      <c r="A36" s="34"/>
      <c r="B36" s="806"/>
      <c r="C36" s="18"/>
      <c r="D36" s="24"/>
      <c r="E36" s="25"/>
      <c r="F36" s="25"/>
      <c r="G36" s="25"/>
      <c r="H36" s="159"/>
      <c r="I36" s="159"/>
      <c r="J36" s="159"/>
      <c r="K36" s="159"/>
      <c r="L36" s="159"/>
      <c r="M36" s="159"/>
      <c r="N36" s="159"/>
      <c r="O36" s="159"/>
      <c r="P36" s="159"/>
      <c r="Q36" s="159"/>
      <c r="R36" s="159"/>
      <c r="S36" s="159"/>
      <c r="T36" s="159"/>
      <c r="U36" s="159"/>
      <c r="V36" s="159"/>
      <c r="W36" s="159"/>
      <c r="X36" s="159"/>
      <c r="Y36" s="160"/>
      <c r="Z36" s="160"/>
      <c r="AA36" s="160"/>
      <c r="AB36" s="160"/>
      <c r="AC36" s="160"/>
      <c r="AD36" s="161"/>
      <c r="AE36" s="145"/>
      <c r="AF36" s="145"/>
      <c r="AG36" s="145"/>
      <c r="AH36" s="145"/>
      <c r="AI36" s="145"/>
      <c r="AJ36" s="145"/>
      <c r="AK36" s="145"/>
      <c r="AL36" s="145"/>
      <c r="AM36" s="145"/>
      <c r="AN36" s="145"/>
      <c r="AO36" s="145"/>
      <c r="AP36" s="145"/>
      <c r="AQ36" s="145"/>
      <c r="AR36" s="155"/>
      <c r="AS36" s="150"/>
      <c r="AT36" s="151"/>
    </row>
    <row r="37" spans="1:46" ht="15" customHeight="1">
      <c r="A37" s="34"/>
      <c r="B37" s="806"/>
      <c r="C37" s="18"/>
      <c r="D37" s="7" t="s">
        <v>13</v>
      </c>
      <c r="E37" s="8"/>
      <c r="F37" s="8"/>
      <c r="G37" s="8"/>
      <c r="H37" s="743">
        <f>IF(Demande!H32=0,"",Demande!H32)</f>
      </c>
      <c r="I37" s="744"/>
      <c r="J37" s="744"/>
      <c r="K37" s="744"/>
      <c r="L37" s="744"/>
      <c r="M37" s="744"/>
      <c r="N37" s="744"/>
      <c r="O37" s="744"/>
      <c r="P37" s="744"/>
      <c r="Q37" s="744"/>
      <c r="R37" s="744"/>
      <c r="S37" s="744"/>
      <c r="T37" s="744"/>
      <c r="U37" s="744"/>
      <c r="V37" s="744"/>
      <c r="W37" s="744"/>
      <c r="X37" s="744"/>
      <c r="Y37" s="744"/>
      <c r="Z37" s="744"/>
      <c r="AA37" s="744"/>
      <c r="AB37" s="744"/>
      <c r="AC37" s="744"/>
      <c r="AD37" s="745"/>
      <c r="AE37" s="148" t="s">
        <v>180</v>
      </c>
      <c r="AF37" s="145"/>
      <c r="AG37" s="145"/>
      <c r="AH37" s="147"/>
      <c r="AI37" s="740">
        <f>IF(Demande!P32=0,"",Demande!P32)</f>
      </c>
      <c r="AJ37" s="741"/>
      <c r="AK37" s="741"/>
      <c r="AL37" s="741"/>
      <c r="AM37" s="741"/>
      <c r="AN37" s="741"/>
      <c r="AO37" s="741"/>
      <c r="AP37" s="742"/>
      <c r="AQ37" s="155"/>
      <c r="AR37" s="162" t="s">
        <v>14</v>
      </c>
      <c r="AS37" s="150"/>
      <c r="AT37" s="151"/>
    </row>
    <row r="38" spans="1:46" ht="3" customHeight="1">
      <c r="A38" s="1"/>
      <c r="B38" s="806"/>
      <c r="C38" s="18"/>
      <c r="D38" s="66"/>
      <c r="E38" s="66"/>
      <c r="F38" s="66"/>
      <c r="G38" s="6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55"/>
      <c r="AS38" s="150"/>
      <c r="AT38" s="151"/>
    </row>
    <row r="39" spans="1:46" ht="15" customHeight="1">
      <c r="A39" s="1"/>
      <c r="B39" s="806"/>
      <c r="C39" s="18"/>
      <c r="D39" s="7" t="s">
        <v>2</v>
      </c>
      <c r="E39" s="8"/>
      <c r="F39" s="8"/>
      <c r="G39" s="8"/>
      <c r="H39" s="743">
        <f>IF(Demande!B36=0,"",Demande!B36)</f>
      </c>
      <c r="I39" s="744"/>
      <c r="J39" s="744"/>
      <c r="K39" s="744"/>
      <c r="L39" s="744"/>
      <c r="M39" s="744"/>
      <c r="N39" s="744"/>
      <c r="O39" s="744"/>
      <c r="P39" s="744"/>
      <c r="Q39" s="744"/>
      <c r="R39" s="744"/>
      <c r="S39" s="744"/>
      <c r="T39" s="744"/>
      <c r="U39" s="744"/>
      <c r="V39" s="744"/>
      <c r="W39" s="744"/>
      <c r="X39" s="744"/>
      <c r="Y39" s="744"/>
      <c r="Z39" s="744"/>
      <c r="AA39" s="744"/>
      <c r="AB39" s="744"/>
      <c r="AC39" s="744"/>
      <c r="AD39" s="745"/>
      <c r="AE39" s="148" t="s">
        <v>15</v>
      </c>
      <c r="AF39" s="145"/>
      <c r="AG39" s="145"/>
      <c r="AH39" s="145"/>
      <c r="AI39" s="865">
        <f>IF(Demande!L34=0,"",Demande!L34)</f>
      </c>
      <c r="AJ39" s="866"/>
      <c r="AK39" s="866"/>
      <c r="AL39" s="866"/>
      <c r="AM39" s="866"/>
      <c r="AN39" s="866"/>
      <c r="AO39" s="866"/>
      <c r="AP39" s="867"/>
      <c r="AQ39" s="1"/>
      <c r="AR39" s="28">
        <f>IF(Demande!O34=0,"",Demande!O34)</f>
      </c>
      <c r="AS39" s="150"/>
      <c r="AT39" s="151"/>
    </row>
    <row r="40" spans="1:46" ht="3" customHeight="1">
      <c r="A40" s="34"/>
      <c r="B40" s="806"/>
      <c r="C40" s="18"/>
      <c r="D40" s="7"/>
      <c r="E40" s="8"/>
      <c r="F40" s="8"/>
      <c r="G40" s="8"/>
      <c r="H40" s="147"/>
      <c r="I40" s="147"/>
      <c r="J40" s="147"/>
      <c r="K40" s="147"/>
      <c r="L40" s="147"/>
      <c r="M40" s="147"/>
      <c r="N40" s="147"/>
      <c r="O40" s="147"/>
      <c r="P40" s="147"/>
      <c r="Q40" s="147"/>
      <c r="R40" s="147"/>
      <c r="S40" s="147"/>
      <c r="T40" s="147"/>
      <c r="U40" s="147"/>
      <c r="V40" s="147"/>
      <c r="W40" s="147"/>
      <c r="X40" s="147"/>
      <c r="Y40" s="147"/>
      <c r="Z40" s="147"/>
      <c r="AA40" s="147"/>
      <c r="AB40" s="147"/>
      <c r="AC40" s="147"/>
      <c r="AD40" s="148"/>
      <c r="AE40" s="145"/>
      <c r="AF40" s="145"/>
      <c r="AG40" s="145"/>
      <c r="AH40" s="145"/>
      <c r="AI40" s="152"/>
      <c r="AJ40" s="152"/>
      <c r="AK40" s="152"/>
      <c r="AL40" s="152"/>
      <c r="AM40" s="152"/>
      <c r="AN40" s="152"/>
      <c r="AO40" s="152"/>
      <c r="AP40" s="152"/>
      <c r="AQ40" s="145"/>
      <c r="AR40" s="163"/>
      <c r="AS40" s="150"/>
      <c r="AT40" s="151"/>
    </row>
    <row r="41" spans="1:46" ht="15" customHeight="1">
      <c r="A41" s="34"/>
      <c r="B41" s="806"/>
      <c r="C41" s="18"/>
      <c r="D41" s="7" t="s">
        <v>3</v>
      </c>
      <c r="E41" s="1"/>
      <c r="F41" s="1"/>
      <c r="G41" s="1"/>
      <c r="H41" s="743">
        <f>IF(Demande!B38=0,"",Demande!B38)</f>
      </c>
      <c r="I41" s="744"/>
      <c r="J41" s="744"/>
      <c r="K41" s="744"/>
      <c r="L41" s="744"/>
      <c r="M41" s="744"/>
      <c r="N41" s="744"/>
      <c r="O41" s="744"/>
      <c r="P41" s="744"/>
      <c r="Q41" s="744"/>
      <c r="R41" s="744"/>
      <c r="S41" s="744"/>
      <c r="T41" s="744"/>
      <c r="U41" s="745"/>
      <c r="V41" s="145"/>
      <c r="W41" s="145"/>
      <c r="X41" s="145"/>
      <c r="Y41" s="149" t="s">
        <v>4</v>
      </c>
      <c r="Z41" s="746">
        <f>IF(Demande!P38=0,"",Demande!P38)</f>
      </c>
      <c r="AA41" s="747"/>
      <c r="AB41" s="747"/>
      <c r="AC41" s="747"/>
      <c r="AD41" s="748"/>
      <c r="AE41" s="148" t="s">
        <v>18</v>
      </c>
      <c r="AF41" s="145"/>
      <c r="AG41" s="145"/>
      <c r="AH41" s="145"/>
      <c r="AI41" s="865">
        <f>IF(Demande!Q34=0,"",Demande!Q34)</f>
      </c>
      <c r="AJ41" s="866"/>
      <c r="AK41" s="866"/>
      <c r="AL41" s="866"/>
      <c r="AM41" s="866"/>
      <c r="AN41" s="866"/>
      <c r="AO41" s="866"/>
      <c r="AP41" s="867"/>
      <c r="AQ41" s="145"/>
      <c r="AR41" s="145"/>
      <c r="AS41" s="150"/>
      <c r="AT41" s="151"/>
    </row>
    <row r="42" spans="1:45" ht="3" customHeight="1" thickBot="1">
      <c r="A42" s="34"/>
      <c r="B42" s="873"/>
      <c r="C42" s="20"/>
      <c r="D42" s="29"/>
      <c r="E42" s="29"/>
      <c r="F42" s="29"/>
      <c r="G42" s="29"/>
      <c r="H42" s="29"/>
      <c r="I42" s="29"/>
      <c r="J42" s="29"/>
      <c r="K42" s="29"/>
      <c r="L42" s="29"/>
      <c r="M42" s="29"/>
      <c r="N42" s="29"/>
      <c r="O42" s="29"/>
      <c r="P42" s="29"/>
      <c r="Q42" s="30"/>
      <c r="R42" s="29"/>
      <c r="S42" s="29"/>
      <c r="T42" s="29"/>
      <c r="U42" s="29"/>
      <c r="V42" s="29"/>
      <c r="W42" s="29"/>
      <c r="X42" s="25"/>
      <c r="Y42" s="29" t="s">
        <v>59</v>
      </c>
      <c r="Z42" s="29"/>
      <c r="AA42" s="29"/>
      <c r="AB42" s="29"/>
      <c r="AC42" s="29"/>
      <c r="AD42" s="31"/>
      <c r="AE42" s="32"/>
      <c r="AF42" s="32"/>
      <c r="AG42" s="32"/>
      <c r="AH42" s="32"/>
      <c r="AI42" s="32"/>
      <c r="AJ42" s="32"/>
      <c r="AK42" s="32"/>
      <c r="AL42" s="32"/>
      <c r="AM42" s="32"/>
      <c r="AN42" s="32"/>
      <c r="AO42" s="32"/>
      <c r="AP42" s="32"/>
      <c r="AQ42" s="32"/>
      <c r="AR42" s="32"/>
      <c r="AS42" s="33"/>
    </row>
    <row r="43" spans="1:45" ht="3" customHeight="1">
      <c r="A43" s="1"/>
      <c r="B43" s="802" t="s">
        <v>181</v>
      </c>
      <c r="C43" s="18"/>
      <c r="D43" s="23"/>
      <c r="E43" s="3"/>
      <c r="F43" s="3"/>
      <c r="G43" s="3"/>
      <c r="H43" s="3"/>
      <c r="I43" s="3"/>
      <c r="J43" s="3"/>
      <c r="K43" s="70"/>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5"/>
    </row>
    <row r="44" spans="1:45" ht="15" customHeight="1">
      <c r="A44" s="34"/>
      <c r="B44" s="806"/>
      <c r="C44" s="18"/>
      <c r="D44" s="7" t="s">
        <v>7</v>
      </c>
      <c r="E44" s="8"/>
      <c r="F44" s="71"/>
      <c r="G44" s="69"/>
      <c r="H44" s="807">
        <f>IF(Demande!B42=0,"",Demande!B42)</f>
      </c>
      <c r="I44" s="808"/>
      <c r="J44" s="809"/>
      <c r="K44" s="35"/>
      <c r="L44" s="19" t="s">
        <v>9</v>
      </c>
      <c r="M44" s="749">
        <f>IF(Demande!D42=0,"",Demande!D42)</f>
      </c>
      <c r="N44" s="750"/>
      <c r="O44" s="750"/>
      <c r="P44" s="750"/>
      <c r="Q44" s="750"/>
      <c r="R44" s="750"/>
      <c r="S44" s="750"/>
      <c r="T44" s="750"/>
      <c r="U44" s="750"/>
      <c r="V44" s="750"/>
      <c r="W44" s="750"/>
      <c r="X44" s="750"/>
      <c r="Y44" s="750"/>
      <c r="Z44" s="751"/>
      <c r="AA44" s="7" t="s">
        <v>10</v>
      </c>
      <c r="AB44" s="71"/>
      <c r="AC44" s="794">
        <f>IF(Demande!L42=0,"",Demande!L42)</f>
      </c>
      <c r="AD44" s="795"/>
      <c r="AE44" s="795"/>
      <c r="AF44" s="795"/>
      <c r="AG44" s="795"/>
      <c r="AH44" s="795"/>
      <c r="AI44" s="795"/>
      <c r="AJ44" s="795"/>
      <c r="AK44" s="795"/>
      <c r="AL44" s="795"/>
      <c r="AM44" s="795"/>
      <c r="AN44" s="795"/>
      <c r="AO44" s="795"/>
      <c r="AP44" s="796"/>
      <c r="AQ44" s="738"/>
      <c r="AR44" s="739"/>
      <c r="AS44" s="12"/>
    </row>
    <row r="45" spans="1:45" ht="3" customHeight="1">
      <c r="A45" s="34"/>
      <c r="B45" s="806"/>
      <c r="C45" s="18"/>
      <c r="D45" s="7"/>
      <c r="E45" s="8"/>
      <c r="F45" s="8"/>
      <c r="G45" s="8"/>
      <c r="H45" s="8"/>
      <c r="I45" s="8"/>
      <c r="J45" s="8"/>
      <c r="K45" s="1"/>
      <c r="L45" s="10"/>
      <c r="M45" s="10"/>
      <c r="N45" s="10"/>
      <c r="O45" s="10"/>
      <c r="P45" s="10"/>
      <c r="Q45" s="10"/>
      <c r="R45" s="10"/>
      <c r="S45" s="10"/>
      <c r="T45" s="10"/>
      <c r="U45" s="10"/>
      <c r="V45" s="10"/>
      <c r="W45" s="10"/>
      <c r="X45" s="10"/>
      <c r="Y45" s="10"/>
      <c r="Z45" s="10"/>
      <c r="AA45" s="10"/>
      <c r="AB45" s="10"/>
      <c r="AC45" s="10"/>
      <c r="AD45" s="9"/>
      <c r="AE45" s="1"/>
      <c r="AF45" s="8"/>
      <c r="AG45" s="1"/>
      <c r="AH45" s="1"/>
      <c r="AI45" s="50"/>
      <c r="AJ45" s="50"/>
      <c r="AK45" s="50"/>
      <c r="AL45" s="50"/>
      <c r="AM45" s="50"/>
      <c r="AN45" s="50"/>
      <c r="AO45" s="50"/>
      <c r="AP45" s="50"/>
      <c r="AQ45" s="72"/>
      <c r="AR45" s="73"/>
      <c r="AS45" s="12"/>
    </row>
    <row r="46" spans="1:45" ht="15" customHeight="1">
      <c r="A46" s="34"/>
      <c r="B46" s="806"/>
      <c r="C46" s="70"/>
      <c r="D46" s="7" t="s">
        <v>11</v>
      </c>
      <c r="E46" s="1"/>
      <c r="F46" s="8"/>
      <c r="G46" s="1"/>
      <c r="H46" s="743">
        <f>IF(Demande!B44=0,"",Demande!B44)</f>
      </c>
      <c r="I46" s="744"/>
      <c r="J46" s="744"/>
      <c r="K46" s="744"/>
      <c r="L46" s="744"/>
      <c r="M46" s="744"/>
      <c r="N46" s="744"/>
      <c r="O46" s="744"/>
      <c r="P46" s="744"/>
      <c r="Q46" s="744"/>
      <c r="R46" s="744"/>
      <c r="S46" s="744"/>
      <c r="T46" s="744"/>
      <c r="U46" s="744"/>
      <c r="V46" s="744"/>
      <c r="W46" s="744"/>
      <c r="X46" s="744"/>
      <c r="Y46" s="744"/>
      <c r="Z46" s="745"/>
      <c r="AA46" s="7" t="s">
        <v>12</v>
      </c>
      <c r="AB46" s="11"/>
      <c r="AC46" s="864">
        <f>IF(Demande!B46=0,"",Demande!B46)</f>
      </c>
      <c r="AD46" s="744"/>
      <c r="AE46" s="744"/>
      <c r="AF46" s="744"/>
      <c r="AG46" s="744"/>
      <c r="AH46" s="744"/>
      <c r="AI46" s="744"/>
      <c r="AJ46" s="744"/>
      <c r="AK46" s="744"/>
      <c r="AL46" s="744"/>
      <c r="AM46" s="744"/>
      <c r="AN46" s="744"/>
      <c r="AO46" s="744"/>
      <c r="AP46" s="745"/>
      <c r="AQ46" s="70"/>
      <c r="AR46" s="66"/>
      <c r="AS46" s="12"/>
    </row>
    <row r="47" spans="1:45" ht="3" customHeight="1">
      <c r="A47" s="34"/>
      <c r="B47" s="806"/>
      <c r="C47" s="18"/>
      <c r="D47" s="24"/>
      <c r="E47" s="25"/>
      <c r="F47" s="25"/>
      <c r="G47" s="25"/>
      <c r="H47" s="26"/>
      <c r="I47" s="26"/>
      <c r="J47" s="26"/>
      <c r="K47" s="26"/>
      <c r="L47" s="26"/>
      <c r="M47" s="26"/>
      <c r="N47" s="26"/>
      <c r="O47" s="26"/>
      <c r="P47" s="26"/>
      <c r="Q47" s="26"/>
      <c r="R47" s="26"/>
      <c r="S47" s="26"/>
      <c r="T47" s="26"/>
      <c r="U47" s="26"/>
      <c r="V47" s="26"/>
      <c r="W47" s="26"/>
      <c r="X47" s="26"/>
      <c r="Y47" s="25"/>
      <c r="Z47" s="25"/>
      <c r="AA47" s="25"/>
      <c r="AB47" s="25"/>
      <c r="AC47" s="25"/>
      <c r="AD47" s="24"/>
      <c r="AE47" s="8"/>
      <c r="AF47" s="8"/>
      <c r="AG47" s="8"/>
      <c r="AH47" s="8"/>
      <c r="AI47" s="21"/>
      <c r="AJ47" s="21"/>
      <c r="AK47" s="21"/>
      <c r="AL47" s="21"/>
      <c r="AM47" s="21"/>
      <c r="AN47" s="21"/>
      <c r="AO47" s="21"/>
      <c r="AP47" s="21"/>
      <c r="AQ47" s="21"/>
      <c r="AR47" s="70"/>
      <c r="AS47" s="12"/>
    </row>
    <row r="48" spans="1:45" ht="15" customHeight="1">
      <c r="A48" s="34"/>
      <c r="B48" s="806"/>
      <c r="C48" s="18"/>
      <c r="D48" s="7" t="s">
        <v>13</v>
      </c>
      <c r="E48" s="8"/>
      <c r="F48" s="8"/>
      <c r="G48" s="8"/>
      <c r="H48" s="743">
        <f>IF(Demande!H44=0,"",Demande!H44)</f>
      </c>
      <c r="I48" s="744"/>
      <c r="J48" s="744"/>
      <c r="K48" s="744"/>
      <c r="L48" s="744"/>
      <c r="M48" s="744"/>
      <c r="N48" s="744"/>
      <c r="O48" s="744"/>
      <c r="P48" s="744"/>
      <c r="Q48" s="744"/>
      <c r="R48" s="744"/>
      <c r="S48" s="744"/>
      <c r="T48" s="744"/>
      <c r="U48" s="744"/>
      <c r="V48" s="744"/>
      <c r="W48" s="744"/>
      <c r="X48" s="744"/>
      <c r="Y48" s="744"/>
      <c r="Z48" s="744"/>
      <c r="AA48" s="744"/>
      <c r="AB48" s="744"/>
      <c r="AC48" s="744"/>
      <c r="AD48" s="745"/>
      <c r="AE48" s="9" t="s">
        <v>180</v>
      </c>
      <c r="AF48" s="1"/>
      <c r="AG48" s="1"/>
      <c r="AH48" s="10"/>
      <c r="AI48" s="740">
        <f>IF(Demande!P44=0,"",Demande!P44)</f>
      </c>
      <c r="AJ48" s="741"/>
      <c r="AK48" s="741"/>
      <c r="AL48" s="741"/>
      <c r="AM48" s="741"/>
      <c r="AN48" s="741"/>
      <c r="AO48" s="741"/>
      <c r="AP48" s="742"/>
      <c r="AQ48" s="70"/>
      <c r="AR48" s="62" t="s">
        <v>14</v>
      </c>
      <c r="AS48" s="12"/>
    </row>
    <row r="49" spans="1:45" ht="3" customHeight="1">
      <c r="A49" s="1"/>
      <c r="B49" s="806"/>
      <c r="C49" s="27"/>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3"/>
      <c r="AE49" s="66"/>
      <c r="AF49" s="66"/>
      <c r="AG49" s="66"/>
      <c r="AH49" s="66"/>
      <c r="AI49" s="66"/>
      <c r="AJ49" s="66"/>
      <c r="AK49" s="66"/>
      <c r="AL49" s="66"/>
      <c r="AM49" s="66"/>
      <c r="AN49" s="66"/>
      <c r="AO49" s="66"/>
      <c r="AP49" s="66"/>
      <c r="AQ49" s="66"/>
      <c r="AR49" s="70"/>
      <c r="AS49" s="12"/>
    </row>
    <row r="50" spans="1:45" ht="15" customHeight="1">
      <c r="A50" s="1"/>
      <c r="B50" s="806"/>
      <c r="C50" s="18"/>
      <c r="D50" s="7" t="s">
        <v>2</v>
      </c>
      <c r="E50" s="8"/>
      <c r="F50" s="8"/>
      <c r="G50" s="8"/>
      <c r="H50" s="743">
        <f>IF(Demande!B48=0,"",Demande!B48)</f>
      </c>
      <c r="I50" s="744"/>
      <c r="J50" s="744"/>
      <c r="K50" s="744"/>
      <c r="L50" s="744"/>
      <c r="M50" s="744"/>
      <c r="N50" s="744"/>
      <c r="O50" s="744"/>
      <c r="P50" s="744"/>
      <c r="Q50" s="744"/>
      <c r="R50" s="744"/>
      <c r="S50" s="744"/>
      <c r="T50" s="744"/>
      <c r="U50" s="744"/>
      <c r="V50" s="744"/>
      <c r="W50" s="744"/>
      <c r="X50" s="744"/>
      <c r="Y50" s="744"/>
      <c r="Z50" s="744"/>
      <c r="AA50" s="744"/>
      <c r="AB50" s="744"/>
      <c r="AC50" s="744"/>
      <c r="AD50" s="745"/>
      <c r="AE50" s="9" t="s">
        <v>15</v>
      </c>
      <c r="AF50" s="1"/>
      <c r="AG50" s="1"/>
      <c r="AH50" s="1"/>
      <c r="AI50" s="865">
        <f>IF(Demande!L46=0,"",Demande!L46)</f>
      </c>
      <c r="AJ50" s="866"/>
      <c r="AK50" s="866"/>
      <c r="AL50" s="866"/>
      <c r="AM50" s="866"/>
      <c r="AN50" s="866"/>
      <c r="AO50" s="866"/>
      <c r="AP50" s="867"/>
      <c r="AQ50" s="1"/>
      <c r="AR50" s="28">
        <f>IF(Demande!O46=0,"",Demande!O46)</f>
      </c>
      <c r="AS50" s="12"/>
    </row>
    <row r="51" spans="1:45" ht="3" customHeight="1">
      <c r="A51" s="34"/>
      <c r="B51" s="806"/>
      <c r="C51" s="18"/>
      <c r="D51" s="7"/>
      <c r="E51" s="8"/>
      <c r="F51" s="8"/>
      <c r="G51" s="8"/>
      <c r="H51" s="10"/>
      <c r="I51" s="10"/>
      <c r="J51" s="10"/>
      <c r="K51" s="10"/>
      <c r="L51" s="10"/>
      <c r="M51" s="10"/>
      <c r="N51" s="10"/>
      <c r="O51" s="10"/>
      <c r="P51" s="10"/>
      <c r="Q51" s="10"/>
      <c r="R51" s="10"/>
      <c r="S51" s="10"/>
      <c r="T51" s="10"/>
      <c r="U51" s="10"/>
      <c r="V51" s="10"/>
      <c r="W51" s="10"/>
      <c r="X51" s="10"/>
      <c r="Y51" s="10"/>
      <c r="Z51" s="10"/>
      <c r="AA51" s="10"/>
      <c r="AB51" s="10"/>
      <c r="AC51" s="10"/>
      <c r="AD51" s="63"/>
      <c r="AE51" s="9"/>
      <c r="AF51" s="1"/>
      <c r="AG51" s="1"/>
      <c r="AH51" s="1"/>
      <c r="AI51" s="50"/>
      <c r="AJ51" s="50"/>
      <c r="AK51" s="50"/>
      <c r="AL51" s="50"/>
      <c r="AM51" s="50"/>
      <c r="AN51" s="50"/>
      <c r="AO51" s="50"/>
      <c r="AP51" s="50"/>
      <c r="AQ51" s="1"/>
      <c r="AR51" s="74"/>
      <c r="AS51" s="12"/>
    </row>
    <row r="52" spans="1:45" ht="15" customHeight="1">
      <c r="A52" s="34"/>
      <c r="B52" s="806"/>
      <c r="C52" s="18"/>
      <c r="D52" s="7" t="s">
        <v>3</v>
      </c>
      <c r="E52" s="1"/>
      <c r="F52" s="1"/>
      <c r="G52" s="1"/>
      <c r="H52" s="743">
        <f>IF(Demande!B50=0,"",Demande!B50)</f>
      </c>
      <c r="I52" s="744"/>
      <c r="J52" s="744"/>
      <c r="K52" s="744"/>
      <c r="L52" s="744"/>
      <c r="M52" s="744"/>
      <c r="N52" s="744"/>
      <c r="O52" s="744"/>
      <c r="P52" s="744"/>
      <c r="Q52" s="744"/>
      <c r="R52" s="744"/>
      <c r="S52" s="744"/>
      <c r="T52" s="744"/>
      <c r="U52" s="745"/>
      <c r="V52" s="1"/>
      <c r="W52" s="1"/>
      <c r="X52" s="1"/>
      <c r="Y52" s="19" t="s">
        <v>4</v>
      </c>
      <c r="Z52" s="746">
        <f>IF(Demande!P50=0,"",Demande!P50)</f>
      </c>
      <c r="AA52" s="747"/>
      <c r="AB52" s="747"/>
      <c r="AC52" s="747"/>
      <c r="AD52" s="748"/>
      <c r="AE52" s="9" t="s">
        <v>18</v>
      </c>
      <c r="AF52" s="8"/>
      <c r="AG52" s="1"/>
      <c r="AH52" s="1"/>
      <c r="AI52" s="865">
        <f>IF(Demande!Q46=0,"",Demande!Q46)</f>
      </c>
      <c r="AJ52" s="866"/>
      <c r="AK52" s="866"/>
      <c r="AL52" s="866"/>
      <c r="AM52" s="866"/>
      <c r="AN52" s="866"/>
      <c r="AO52" s="866"/>
      <c r="AP52" s="867"/>
      <c r="AQ52" s="1"/>
      <c r="AR52" s="1"/>
      <c r="AS52" s="12"/>
    </row>
    <row r="53" spans="1:45" ht="2.25" customHeight="1">
      <c r="A53" s="34"/>
      <c r="B53" s="806"/>
      <c r="C53" s="18"/>
      <c r="D53" s="7"/>
      <c r="E53" s="1"/>
      <c r="F53" s="1"/>
      <c r="G53" s="1"/>
      <c r="H53" s="1"/>
      <c r="I53" s="1"/>
      <c r="J53" s="1"/>
      <c r="K53" s="1"/>
      <c r="L53" s="1"/>
      <c r="M53" s="1"/>
      <c r="N53" s="1"/>
      <c r="O53" s="1"/>
      <c r="P53" s="1"/>
      <c r="Q53" s="1"/>
      <c r="R53" s="1"/>
      <c r="S53" s="1"/>
      <c r="T53" s="1"/>
      <c r="U53" s="1"/>
      <c r="V53" s="1"/>
      <c r="W53" s="1"/>
      <c r="X53" s="1"/>
      <c r="Y53" s="19"/>
      <c r="Z53" s="1"/>
      <c r="AA53" s="1"/>
      <c r="AB53" s="1"/>
      <c r="AC53" s="1"/>
      <c r="AD53" s="1"/>
      <c r="AE53" s="1"/>
      <c r="AF53" s="8"/>
      <c r="AG53" s="1"/>
      <c r="AH53" s="1"/>
      <c r="AI53" s="1"/>
      <c r="AJ53" s="1"/>
      <c r="AK53" s="1"/>
      <c r="AL53" s="1"/>
      <c r="AM53" s="1"/>
      <c r="AN53" s="1"/>
      <c r="AO53" s="1"/>
      <c r="AP53" s="1"/>
      <c r="AQ53" s="1"/>
      <c r="AR53" s="1"/>
      <c r="AS53" s="12"/>
    </row>
    <row r="54" spans="1:45" ht="3" customHeight="1" thickBot="1">
      <c r="A54" s="34"/>
      <c r="B54" s="806"/>
      <c r="C54" s="18"/>
      <c r="D54" s="7"/>
      <c r="E54" s="1"/>
      <c r="F54" s="1"/>
      <c r="G54" s="1"/>
      <c r="H54" s="25"/>
      <c r="I54" s="25"/>
      <c r="J54" s="25"/>
      <c r="K54" s="25"/>
      <c r="L54" s="25"/>
      <c r="M54" s="25"/>
      <c r="N54" s="25"/>
      <c r="O54" s="25"/>
      <c r="P54" s="25"/>
      <c r="Q54" s="36"/>
      <c r="R54" s="25"/>
      <c r="S54" s="25"/>
      <c r="T54" s="25"/>
      <c r="U54" s="25"/>
      <c r="V54" s="25"/>
      <c r="W54" s="25"/>
      <c r="X54" s="25"/>
      <c r="Y54" s="25"/>
      <c r="Z54" s="25"/>
      <c r="AA54" s="25"/>
      <c r="AB54" s="25"/>
      <c r="AC54" s="25"/>
      <c r="AD54" s="92"/>
      <c r="AE54" s="9"/>
      <c r="AF54" s="8"/>
      <c r="AG54" s="1"/>
      <c r="AH54" s="1"/>
      <c r="AI54" s="8"/>
      <c r="AJ54" s="8"/>
      <c r="AK54" s="8"/>
      <c r="AL54" s="8"/>
      <c r="AM54" s="8"/>
      <c r="AN54" s="8"/>
      <c r="AO54" s="8"/>
      <c r="AP54" s="8"/>
      <c r="AQ54" s="1"/>
      <c r="AR54" s="1"/>
      <c r="AS54" s="12"/>
    </row>
    <row r="55" spans="1:45" ht="15">
      <c r="A55" s="1"/>
      <c r="B55" s="801" t="s">
        <v>739</v>
      </c>
      <c r="C55" s="2"/>
      <c r="D55" s="3"/>
      <c r="E55" s="37"/>
      <c r="F55" s="3"/>
      <c r="G55" s="3"/>
      <c r="H55" s="75"/>
      <c r="I55" s="3"/>
      <c r="J55" s="3"/>
      <c r="K55" s="3"/>
      <c r="L55" s="3"/>
      <c r="M55" s="3"/>
      <c r="N55" s="3"/>
      <c r="O55" s="3"/>
      <c r="P55" s="3"/>
      <c r="Q55" s="3"/>
      <c r="R55" s="3"/>
      <c r="S55" s="3"/>
      <c r="T55" s="3"/>
      <c r="U55" s="3"/>
      <c r="V55" s="3"/>
      <c r="W55" s="3"/>
      <c r="X55" s="3"/>
      <c r="Y55" s="3"/>
      <c r="Z55" s="3"/>
      <c r="AA55" s="3"/>
      <c r="AB55" s="3"/>
      <c r="AC55" s="3"/>
      <c r="AD55" s="63"/>
      <c r="AE55" s="3"/>
      <c r="AF55" s="3"/>
      <c r="AG55" s="3"/>
      <c r="AH55" s="3"/>
      <c r="AI55" s="3"/>
      <c r="AJ55" s="3"/>
      <c r="AK55" s="3"/>
      <c r="AL55" s="3"/>
      <c r="AM55" s="3"/>
      <c r="AN55" s="3"/>
      <c r="AO55" s="3"/>
      <c r="AP55" s="3"/>
      <c r="AQ55" s="3"/>
      <c r="AR55" s="3"/>
      <c r="AS55" s="5"/>
    </row>
    <row r="56" spans="1:56" s="113" customFormat="1" ht="3" customHeight="1">
      <c r="A56" s="109"/>
      <c r="B56" s="802"/>
      <c r="C56" s="27"/>
      <c r="D56" s="8"/>
      <c r="E56" s="190"/>
      <c r="F56" s="8"/>
      <c r="G56" s="8"/>
      <c r="H56" s="191"/>
      <c r="I56" s="8"/>
      <c r="J56" s="8"/>
      <c r="K56" s="8"/>
      <c r="L56" s="8"/>
      <c r="M56" s="8"/>
      <c r="N56" s="8"/>
      <c r="O56" s="8"/>
      <c r="P56" s="8"/>
      <c r="Q56" s="8"/>
      <c r="R56" s="8"/>
      <c r="S56" s="8"/>
      <c r="T56" s="8"/>
      <c r="U56" s="8"/>
      <c r="V56" s="8"/>
      <c r="W56" s="8"/>
      <c r="X56" s="8"/>
      <c r="Y56" s="8"/>
      <c r="Z56" s="8"/>
      <c r="AA56" s="8"/>
      <c r="AB56" s="8"/>
      <c r="AC56" s="8"/>
      <c r="AD56" s="112"/>
      <c r="AE56" s="8"/>
      <c r="AF56" s="8"/>
      <c r="AG56" s="8"/>
      <c r="AH56" s="8"/>
      <c r="AI56" s="8"/>
      <c r="AJ56" s="8"/>
      <c r="AK56" s="8"/>
      <c r="AL56" s="8"/>
      <c r="AM56" s="8"/>
      <c r="AN56" s="8"/>
      <c r="AO56" s="8"/>
      <c r="AP56" s="8"/>
      <c r="AQ56" s="8"/>
      <c r="AR56" s="8"/>
      <c r="AS56" s="22"/>
      <c r="AT56" s="112"/>
      <c r="AU56" s="112"/>
      <c r="AV56" s="112"/>
      <c r="AW56" s="112"/>
      <c r="AX56" s="112"/>
      <c r="AY56" s="112"/>
      <c r="AZ56" s="112"/>
      <c r="BA56" s="112"/>
      <c r="BB56" s="112"/>
      <c r="BC56" s="112"/>
      <c r="BD56" s="112"/>
    </row>
    <row r="57" spans="1:56" s="113" customFormat="1" ht="3" customHeight="1">
      <c r="A57" s="109"/>
      <c r="B57" s="802"/>
      <c r="C57" s="27"/>
      <c r="D57" s="8"/>
      <c r="E57" s="190"/>
      <c r="F57" s="8"/>
      <c r="G57" s="8"/>
      <c r="H57" s="191"/>
      <c r="I57" s="8"/>
      <c r="J57" s="8"/>
      <c r="K57" s="8"/>
      <c r="L57" s="8"/>
      <c r="M57" s="8"/>
      <c r="N57" s="8"/>
      <c r="O57" s="8"/>
      <c r="P57" s="8"/>
      <c r="Q57" s="8"/>
      <c r="R57" s="8"/>
      <c r="S57" s="8"/>
      <c r="T57" s="8"/>
      <c r="U57" s="8"/>
      <c r="V57" s="8"/>
      <c r="W57" s="8"/>
      <c r="X57" s="8"/>
      <c r="Y57" s="8"/>
      <c r="Z57" s="8"/>
      <c r="AA57" s="8"/>
      <c r="AB57" s="8"/>
      <c r="AC57" s="8"/>
      <c r="AD57" s="112"/>
      <c r="AE57" s="8"/>
      <c r="AF57" s="8"/>
      <c r="AG57" s="8"/>
      <c r="AH57" s="8"/>
      <c r="AI57" s="8"/>
      <c r="AJ57" s="8"/>
      <c r="AK57" s="8"/>
      <c r="AL57" s="8"/>
      <c r="AM57" s="8"/>
      <c r="AN57" s="8"/>
      <c r="AO57" s="8"/>
      <c r="AP57" s="8"/>
      <c r="AQ57" s="8"/>
      <c r="AR57" s="8"/>
      <c r="AS57" s="22"/>
      <c r="AT57" s="112"/>
      <c r="AU57" s="112"/>
      <c r="AV57" s="112"/>
      <c r="AW57" s="112"/>
      <c r="AX57" s="112"/>
      <c r="AY57" s="112"/>
      <c r="AZ57" s="112"/>
      <c r="BA57" s="112"/>
      <c r="BB57" s="112"/>
      <c r="BC57" s="112"/>
      <c r="BD57" s="112"/>
    </row>
    <row r="58" spans="1:56" s="113" customFormat="1" ht="15">
      <c r="A58" s="109"/>
      <c r="B58" s="802"/>
      <c r="C58" s="27"/>
      <c r="D58" s="144" t="s">
        <v>574</v>
      </c>
      <c r="E58" s="145"/>
      <c r="F58" s="145"/>
      <c r="G58" s="145"/>
      <c r="H58" s="743">
        <f>IF(Demande!B54=0,"",Demande!B54)</f>
      </c>
      <c r="I58" s="744"/>
      <c r="J58" s="744"/>
      <c r="K58" s="744"/>
      <c r="L58" s="744"/>
      <c r="M58" s="744"/>
      <c r="N58" s="744"/>
      <c r="O58" s="744"/>
      <c r="P58" s="744"/>
      <c r="Q58" s="744"/>
      <c r="R58" s="744"/>
      <c r="S58" s="744"/>
      <c r="T58" s="744"/>
      <c r="U58" s="744"/>
      <c r="V58" s="744"/>
      <c r="W58" s="744"/>
      <c r="X58" s="744"/>
      <c r="Y58" s="744"/>
      <c r="Z58" s="744"/>
      <c r="AA58" s="744"/>
      <c r="AB58" s="744"/>
      <c r="AC58" s="744"/>
      <c r="AD58" s="745"/>
      <c r="AE58" s="148" t="s">
        <v>180</v>
      </c>
      <c r="AF58" s="144"/>
      <c r="AG58" s="144"/>
      <c r="AH58" s="144"/>
      <c r="AI58" s="740">
        <f>IF(Demande!P54=0,"",Demande!P54)</f>
      </c>
      <c r="AJ58" s="741"/>
      <c r="AK58" s="741"/>
      <c r="AL58" s="741"/>
      <c r="AM58" s="741"/>
      <c r="AN58" s="741"/>
      <c r="AO58" s="741"/>
      <c r="AP58" s="742"/>
      <c r="AQ58" s="8"/>
      <c r="AR58" s="8"/>
      <c r="AS58" s="22"/>
      <c r="AT58" s="102"/>
      <c r="AU58" s="112"/>
      <c r="AV58" s="112"/>
      <c r="AW58" s="112"/>
      <c r="AX58" s="112"/>
      <c r="AY58" s="112"/>
      <c r="AZ58" s="112"/>
      <c r="BA58" s="112"/>
      <c r="BB58" s="112"/>
      <c r="BC58" s="112"/>
      <c r="BD58" s="112"/>
    </row>
    <row r="59" spans="1:56" s="113" customFormat="1" ht="3" customHeight="1">
      <c r="A59" s="109"/>
      <c r="B59" s="802"/>
      <c r="C59" s="27"/>
      <c r="D59" s="8"/>
      <c r="E59" s="190"/>
      <c r="F59" s="8"/>
      <c r="G59" s="8"/>
      <c r="H59" s="191"/>
      <c r="I59" s="8"/>
      <c r="J59" s="8"/>
      <c r="K59" s="8"/>
      <c r="L59" s="8"/>
      <c r="M59" s="8"/>
      <c r="N59" s="8"/>
      <c r="O59" s="8"/>
      <c r="P59" s="8"/>
      <c r="Q59" s="8"/>
      <c r="R59" s="8"/>
      <c r="S59" s="8"/>
      <c r="T59" s="8"/>
      <c r="U59" s="8"/>
      <c r="V59" s="8"/>
      <c r="W59" s="8"/>
      <c r="X59" s="8"/>
      <c r="Y59" s="8"/>
      <c r="Z59" s="8"/>
      <c r="AA59" s="8"/>
      <c r="AB59" s="8"/>
      <c r="AC59" s="8"/>
      <c r="AD59" s="112"/>
      <c r="AE59" s="8"/>
      <c r="AF59" s="8"/>
      <c r="AG59" s="8"/>
      <c r="AH59" s="8"/>
      <c r="AI59" s="8"/>
      <c r="AJ59" s="8"/>
      <c r="AK59" s="8"/>
      <c r="AL59" s="8"/>
      <c r="AM59" s="8"/>
      <c r="AN59" s="8"/>
      <c r="AO59" s="8"/>
      <c r="AP59" s="8"/>
      <c r="AQ59" s="8"/>
      <c r="AR59" s="8"/>
      <c r="AS59" s="22"/>
      <c r="AT59" s="112"/>
      <c r="AU59" s="112"/>
      <c r="AV59" s="112"/>
      <c r="AW59" s="112"/>
      <c r="AX59" s="112"/>
      <c r="AY59" s="112"/>
      <c r="AZ59" s="112"/>
      <c r="BA59" s="112"/>
      <c r="BB59" s="112"/>
      <c r="BC59" s="112"/>
      <c r="BD59" s="112"/>
    </row>
    <row r="60" spans="1:46" ht="15" customHeight="1">
      <c r="A60" s="1"/>
      <c r="B60" s="802"/>
      <c r="C60" s="18"/>
      <c r="D60" s="7" t="s">
        <v>2</v>
      </c>
      <c r="E60" s="8"/>
      <c r="F60" s="8"/>
      <c r="G60" s="8"/>
      <c r="H60" s="743">
        <f>IF(Demande!B56=0,"",Demande!B56)</f>
      </c>
      <c r="I60" s="744"/>
      <c r="J60" s="744"/>
      <c r="K60" s="744"/>
      <c r="L60" s="744"/>
      <c r="M60" s="744"/>
      <c r="N60" s="744"/>
      <c r="O60" s="744"/>
      <c r="P60" s="744"/>
      <c r="Q60" s="744"/>
      <c r="R60" s="744"/>
      <c r="S60" s="744"/>
      <c r="T60" s="744"/>
      <c r="U60" s="744"/>
      <c r="V60" s="744"/>
      <c r="W60" s="744"/>
      <c r="X60" s="744"/>
      <c r="Y60" s="744"/>
      <c r="Z60" s="744"/>
      <c r="AA60" s="744"/>
      <c r="AB60" s="744"/>
      <c r="AC60" s="744"/>
      <c r="AD60" s="745"/>
      <c r="AE60" s="106" t="s">
        <v>147</v>
      </c>
      <c r="AF60" s="38"/>
      <c r="AG60" s="38"/>
      <c r="AH60" s="38"/>
      <c r="AI60" s="740">
        <f>IF(Demande!B60=0,"",Demande!B60)</f>
      </c>
      <c r="AJ60" s="741"/>
      <c r="AK60" s="742"/>
      <c r="AL60" s="180"/>
      <c r="AM60" s="106" t="s">
        <v>23</v>
      </c>
      <c r="AN60" s="106"/>
      <c r="AO60" s="738">
        <f>IF(Demande!F60=0,"",Demande!F60)</f>
      </c>
      <c r="AP60" s="739"/>
      <c r="AQ60" s="8"/>
      <c r="AR60" s="74"/>
      <c r="AS60" s="12"/>
      <c r="AT60" s="64"/>
    </row>
    <row r="61" spans="1:45" ht="3" customHeight="1">
      <c r="A61" s="1"/>
      <c r="B61" s="802"/>
      <c r="C61" s="18"/>
      <c r="D61" s="7"/>
      <c r="E61" s="8"/>
      <c r="F61" s="8"/>
      <c r="G61" s="8"/>
      <c r="H61" s="69"/>
      <c r="I61" s="69"/>
      <c r="J61" s="69"/>
      <c r="K61" s="69"/>
      <c r="L61" s="69"/>
      <c r="M61" s="69"/>
      <c r="N61" s="69"/>
      <c r="O61" s="69"/>
      <c r="P61" s="69"/>
      <c r="Q61" s="69"/>
      <c r="R61" s="69"/>
      <c r="S61" s="69"/>
      <c r="T61" s="69"/>
      <c r="U61" s="69"/>
      <c r="V61" s="69"/>
      <c r="W61" s="69"/>
      <c r="X61" s="69"/>
      <c r="Y61" s="69"/>
      <c r="Z61" s="69"/>
      <c r="AA61" s="69"/>
      <c r="AB61" s="69"/>
      <c r="AC61" s="69"/>
      <c r="AD61" s="63"/>
      <c r="AE61" s="9"/>
      <c r="AF61" s="7"/>
      <c r="AG61" s="7"/>
      <c r="AH61" s="7"/>
      <c r="AI61" s="50"/>
      <c r="AJ61" s="50"/>
      <c r="AK61" s="50"/>
      <c r="AL61" s="50"/>
      <c r="AM61" s="50"/>
      <c r="AN61" s="50"/>
      <c r="AO61" s="50"/>
      <c r="AP61" s="71"/>
      <c r="AQ61" s="8"/>
      <c r="AR61" s="8"/>
      <c r="AS61" s="12"/>
    </row>
    <row r="62" spans="1:56" ht="15" customHeight="1">
      <c r="A62" s="1"/>
      <c r="B62" s="802"/>
      <c r="C62" s="18"/>
      <c r="D62" s="7" t="s">
        <v>3</v>
      </c>
      <c r="E62" s="8"/>
      <c r="F62" s="8"/>
      <c r="G62" s="8"/>
      <c r="H62" s="743">
        <f>IF(Demande!B58=0,"",Demande!B58)</f>
      </c>
      <c r="I62" s="744"/>
      <c r="J62" s="744"/>
      <c r="K62" s="744"/>
      <c r="L62" s="744"/>
      <c r="M62" s="744"/>
      <c r="N62" s="744"/>
      <c r="O62" s="744"/>
      <c r="P62" s="744"/>
      <c r="Q62" s="744"/>
      <c r="R62" s="744"/>
      <c r="S62" s="744"/>
      <c r="T62" s="744"/>
      <c r="U62" s="745"/>
      <c r="V62" s="8"/>
      <c r="W62" s="8"/>
      <c r="X62" s="8"/>
      <c r="Y62" s="19" t="s">
        <v>4</v>
      </c>
      <c r="Z62" s="746">
        <f>IF(Demande!L58=0,"",Demande!L58)</f>
      </c>
      <c r="AA62" s="747"/>
      <c r="AB62" s="747"/>
      <c r="AC62" s="747"/>
      <c r="AD62" s="748"/>
      <c r="AE62" s="106" t="s">
        <v>146</v>
      </c>
      <c r="AF62" s="106"/>
      <c r="AG62" s="38"/>
      <c r="AH62" s="38"/>
      <c r="AI62" s="738">
        <f>IF(Demande!H60="Choisir…","",Demande!H60)</f>
      </c>
      <c r="AJ62" s="785"/>
      <c r="AK62" s="785"/>
      <c r="AL62" s="785"/>
      <c r="AM62" s="785"/>
      <c r="AN62" s="785"/>
      <c r="AO62" s="785"/>
      <c r="AP62" s="739"/>
      <c r="AQ62" s="8"/>
      <c r="AR62" s="8"/>
      <c r="AS62" s="12"/>
      <c r="AU62" s="112"/>
      <c r="AV62" s="112"/>
      <c r="AW62" s="112"/>
      <c r="AX62" s="112"/>
      <c r="AY62" s="112"/>
      <c r="AZ62" s="112"/>
      <c r="BA62" s="112"/>
      <c r="BB62" s="112"/>
      <c r="BC62" s="112"/>
      <c r="BD62" s="112"/>
    </row>
    <row r="63" spans="1:56" ht="3" customHeight="1">
      <c r="A63" s="1"/>
      <c r="B63" s="802"/>
      <c r="C63" s="18"/>
      <c r="D63" s="7"/>
      <c r="E63" s="8"/>
      <c r="F63" s="8"/>
      <c r="G63" s="8"/>
      <c r="H63" s="10"/>
      <c r="I63" s="10"/>
      <c r="J63" s="10"/>
      <c r="K63" s="10"/>
      <c r="L63" s="10"/>
      <c r="M63" s="10"/>
      <c r="N63" s="10"/>
      <c r="O63" s="10"/>
      <c r="P63" s="10"/>
      <c r="Q63" s="10"/>
      <c r="R63" s="10"/>
      <c r="S63" s="10"/>
      <c r="T63" s="7"/>
      <c r="U63" s="8"/>
      <c r="V63" s="8"/>
      <c r="W63" s="8"/>
      <c r="X63" s="8"/>
      <c r="Y63" s="50"/>
      <c r="Z63" s="50"/>
      <c r="AA63" s="50"/>
      <c r="AB63" s="50"/>
      <c r="AC63" s="50"/>
      <c r="AD63" s="63"/>
      <c r="AE63" s="69"/>
      <c r="AF63" s="108"/>
      <c r="AG63" s="108"/>
      <c r="AH63" s="108"/>
      <c r="AI63" s="100"/>
      <c r="AJ63" s="100"/>
      <c r="AK63" s="100"/>
      <c r="AL63" s="100"/>
      <c r="AM63" s="100"/>
      <c r="AN63" s="100"/>
      <c r="AO63" s="100"/>
      <c r="AP63" s="100"/>
      <c r="AQ63" s="8"/>
      <c r="AR63" s="8"/>
      <c r="AS63" s="12"/>
      <c r="AU63" s="112"/>
      <c r="AV63" s="112"/>
      <c r="AW63" s="112"/>
      <c r="AX63" s="112"/>
      <c r="AY63" s="112"/>
      <c r="AZ63" s="112"/>
      <c r="BA63" s="112"/>
      <c r="BB63" s="112"/>
      <c r="BC63" s="112"/>
      <c r="BD63" s="112"/>
    </row>
    <row r="64" spans="1:56" ht="15" customHeight="1">
      <c r="A64" s="1"/>
      <c r="B64" s="802"/>
      <c r="C64" s="106"/>
      <c r="D64" s="107" t="s">
        <v>145</v>
      </c>
      <c r="E64" s="38"/>
      <c r="F64" s="107"/>
      <c r="H64" s="738">
        <f>IF(Demande!O58="Choisir…","",Demande!O58)</f>
      </c>
      <c r="I64" s="785"/>
      <c r="J64" s="785"/>
      <c r="K64" s="785"/>
      <c r="L64" s="785"/>
      <c r="M64" s="785"/>
      <c r="N64" s="785"/>
      <c r="O64" s="785"/>
      <c r="P64" s="739"/>
      <c r="R64" s="114"/>
      <c r="S64" s="114"/>
      <c r="T64" s="114"/>
      <c r="U64" s="114"/>
      <c r="V64" s="114"/>
      <c r="W64" s="114"/>
      <c r="X64" s="114"/>
      <c r="Y64" s="114"/>
      <c r="Z64" s="114"/>
      <c r="AA64" s="114"/>
      <c r="AB64" s="114"/>
      <c r="AC64" s="114"/>
      <c r="AD64" s="114"/>
      <c r="AE64" s="106" t="s">
        <v>757</v>
      </c>
      <c r="AF64" s="114"/>
      <c r="AG64" s="114"/>
      <c r="AH64" s="114"/>
      <c r="AI64" s="756" t="e">
        <f ca="1">IF(AI62="Choisir…","",INDEX(OFFSET(Secteur,,1,,),MATCH(AI62,Secteur,0)))</f>
        <v>#N/A</v>
      </c>
      <c r="AJ64" s="757"/>
      <c r="AK64" s="757"/>
      <c r="AL64" s="757"/>
      <c r="AM64" s="757"/>
      <c r="AN64" s="757"/>
      <c r="AO64" s="757"/>
      <c r="AP64" s="758"/>
      <c r="AQ64" s="114"/>
      <c r="AR64" s="114"/>
      <c r="AS64" s="12"/>
      <c r="AT64" s="64"/>
      <c r="AU64" s="112"/>
      <c r="AV64" s="112"/>
      <c r="AW64" s="112"/>
      <c r="AX64" s="112"/>
      <c r="AY64" s="112"/>
      <c r="AZ64" s="112"/>
      <c r="BA64" s="112"/>
      <c r="BB64" s="112"/>
      <c r="BC64" s="112"/>
      <c r="BD64" s="112"/>
    </row>
    <row r="65" spans="1:56" ht="3" customHeight="1">
      <c r="A65" s="1"/>
      <c r="B65" s="802"/>
      <c r="C65" s="18"/>
      <c r="D65" s="112"/>
      <c r="E65" s="112"/>
      <c r="F65" s="112"/>
      <c r="G65" s="112"/>
      <c r="H65" s="738" t="s">
        <v>8</v>
      </c>
      <c r="I65" s="785"/>
      <c r="J65" s="785"/>
      <c r="K65" s="785"/>
      <c r="L65" s="785"/>
      <c r="M65" s="785"/>
      <c r="N65" s="785"/>
      <c r="O65" s="785"/>
      <c r="P65" s="739"/>
      <c r="Q65" s="112"/>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2"/>
      <c r="AU65" s="112"/>
      <c r="AV65" s="112"/>
      <c r="AW65" s="112"/>
      <c r="AX65" s="112"/>
      <c r="AY65" s="112"/>
      <c r="AZ65" s="112"/>
      <c r="BA65" s="112"/>
      <c r="BB65" s="112"/>
      <c r="BC65" s="112"/>
      <c r="BD65" s="112"/>
    </row>
    <row r="66" spans="1:56" ht="15" customHeight="1">
      <c r="A66" s="1"/>
      <c r="B66" s="802"/>
      <c r="C66" s="18"/>
      <c r="D66" s="804" t="s">
        <v>184</v>
      </c>
      <c r="E66" s="805"/>
      <c r="F66" s="805"/>
      <c r="G66" s="805"/>
      <c r="H66" s="805"/>
      <c r="I66" s="805"/>
      <c r="J66" s="805"/>
      <c r="K66" s="805"/>
      <c r="L66" s="805"/>
      <c r="M66" s="805"/>
      <c r="N66" s="805"/>
      <c r="O66" s="805"/>
      <c r="P66" s="874"/>
      <c r="Q66" s="144"/>
      <c r="R66" s="144"/>
      <c r="S66" s="112"/>
      <c r="T66" s="112"/>
      <c r="U66" s="112"/>
      <c r="V66" s="112"/>
      <c r="W66" s="112"/>
      <c r="X66" s="112"/>
      <c r="Y66" s="112"/>
      <c r="Z66" s="112"/>
      <c r="AA66" s="112"/>
      <c r="AB66" s="112"/>
      <c r="AC66" s="112"/>
      <c r="AD66" s="144"/>
      <c r="AE66" s="114"/>
      <c r="AF66" s="114"/>
      <c r="AG66" s="114"/>
      <c r="AH66" s="114"/>
      <c r="AI66" s="114"/>
      <c r="AJ66" s="114"/>
      <c r="AK66" s="114"/>
      <c r="AL66" s="114"/>
      <c r="AM66" s="114"/>
      <c r="AN66" s="114"/>
      <c r="AO66" s="114"/>
      <c r="AP66" s="114"/>
      <c r="AQ66" s="114"/>
      <c r="AR66" s="114"/>
      <c r="AS66" s="12"/>
      <c r="AU66" s="112"/>
      <c r="AV66" s="112"/>
      <c r="AW66" s="112"/>
      <c r="AX66" s="112"/>
      <c r="AY66" s="112"/>
      <c r="AZ66" s="112"/>
      <c r="BA66" s="112"/>
      <c r="BB66" s="112"/>
      <c r="BC66" s="112"/>
      <c r="BD66" s="112"/>
    </row>
    <row r="67" spans="1:56" ht="15">
      <c r="A67" s="1" t="s">
        <v>19</v>
      </c>
      <c r="B67" s="802"/>
      <c r="C67" s="18"/>
      <c r="D67" s="35" t="s">
        <v>179</v>
      </c>
      <c r="E67" s="7"/>
      <c r="F67" s="7"/>
      <c r="G67" s="7"/>
      <c r="H67" s="738" t="str">
        <f>IF(Demande!B63=0,"",Demande!B63)</f>
        <v>Choisir…</v>
      </c>
      <c r="I67" s="785"/>
      <c r="J67" s="785"/>
      <c r="K67" s="785"/>
      <c r="L67" s="785"/>
      <c r="M67" s="785"/>
      <c r="N67" s="785"/>
      <c r="O67" s="785"/>
      <c r="P67" s="739"/>
      <c r="Q67" s="144"/>
      <c r="R67" s="101" t="s">
        <v>183</v>
      </c>
      <c r="S67" s="102"/>
      <c r="T67" s="103"/>
      <c r="U67" s="104"/>
      <c r="V67" s="104"/>
      <c r="W67" s="105"/>
      <c r="X67" s="105"/>
      <c r="Y67" s="104"/>
      <c r="Z67" s="746">
        <f>IF(Demande!K63=0,"",Demande!K63)</f>
      </c>
      <c r="AA67" s="747"/>
      <c r="AB67" s="747"/>
      <c r="AC67" s="747"/>
      <c r="AD67" s="748"/>
      <c r="AE67" s="43"/>
      <c r="AF67" s="43"/>
      <c r="AG67" s="43"/>
      <c r="AH67" s="43"/>
      <c r="AI67" s="43"/>
      <c r="AJ67" s="43"/>
      <c r="AK67" s="43"/>
      <c r="AL67" s="43"/>
      <c r="AM67" s="43"/>
      <c r="AN67" s="43"/>
      <c r="AO67" s="43"/>
      <c r="AP67" s="43"/>
      <c r="AQ67" s="21"/>
      <c r="AR67" s="21"/>
      <c r="AS67" s="12"/>
      <c r="AU67" s="112"/>
      <c r="AV67" s="112"/>
      <c r="AW67" s="112"/>
      <c r="AX67" s="112"/>
      <c r="AY67" s="112"/>
      <c r="AZ67" s="112"/>
      <c r="BA67" s="112"/>
      <c r="BB67" s="112"/>
      <c r="BC67" s="112"/>
      <c r="BD67" s="112"/>
    </row>
    <row r="68" spans="1:56" ht="3" customHeight="1">
      <c r="A68" s="1"/>
      <c r="B68" s="802"/>
      <c r="C68" s="18"/>
      <c r="D68" s="7"/>
      <c r="E68" s="8"/>
      <c r="F68" s="8"/>
      <c r="G68" s="8"/>
      <c r="H68" s="76"/>
      <c r="I68" s="69"/>
      <c r="J68" s="69"/>
      <c r="K68" s="69"/>
      <c r="L68" s="69"/>
      <c r="M68" s="69"/>
      <c r="N68" s="69"/>
      <c r="O68" s="69"/>
      <c r="P68" s="69"/>
      <c r="Q68" s="69"/>
      <c r="R68" s="69"/>
      <c r="S68" s="69"/>
      <c r="T68" s="38"/>
      <c r="U68" s="21"/>
      <c r="V68" s="21"/>
      <c r="W68" s="21"/>
      <c r="X68" s="8"/>
      <c r="Y68" s="50"/>
      <c r="Z68" s="77"/>
      <c r="AA68" s="77"/>
      <c r="AB68" s="77"/>
      <c r="AC68" s="77"/>
      <c r="AD68" s="9"/>
      <c r="AE68" s="43"/>
      <c r="AF68" s="43"/>
      <c r="AG68" s="43"/>
      <c r="AH68" s="43"/>
      <c r="AI68" s="43"/>
      <c r="AJ68" s="43"/>
      <c r="AK68" s="43"/>
      <c r="AL68" s="43"/>
      <c r="AM68" s="43"/>
      <c r="AN68" s="43"/>
      <c r="AO68" s="43"/>
      <c r="AP68" s="43"/>
      <c r="AQ68" s="8"/>
      <c r="AR68" s="8"/>
      <c r="AS68" s="12"/>
      <c r="AU68" s="112"/>
      <c r="AV68" s="112"/>
      <c r="AW68" s="112"/>
      <c r="AX68" s="112"/>
      <c r="AY68" s="112"/>
      <c r="AZ68" s="112"/>
      <c r="BA68" s="112"/>
      <c r="BB68" s="112"/>
      <c r="BC68" s="112"/>
      <c r="BD68" s="112"/>
    </row>
    <row r="69" spans="1:56" ht="15" customHeight="1">
      <c r="A69" s="1"/>
      <c r="B69" s="802"/>
      <c r="C69" s="40"/>
      <c r="D69" s="804" t="s">
        <v>529</v>
      </c>
      <c r="E69" s="805"/>
      <c r="F69" s="805"/>
      <c r="G69" s="805"/>
      <c r="H69" s="805"/>
      <c r="I69" s="805"/>
      <c r="J69" s="805"/>
      <c r="K69" s="805"/>
      <c r="L69" s="805"/>
      <c r="M69" s="805"/>
      <c r="N69" s="805"/>
      <c r="O69" s="805"/>
      <c r="P69" s="805"/>
      <c r="Q69" s="805"/>
      <c r="R69" s="805"/>
      <c r="S69" s="805"/>
      <c r="T69" s="805"/>
      <c r="U69" s="805"/>
      <c r="V69" s="805"/>
      <c r="W69" s="8"/>
      <c r="X69" s="8"/>
      <c r="Y69" s="8"/>
      <c r="Z69" s="8"/>
      <c r="AA69" s="8"/>
      <c r="AB69" s="8"/>
      <c r="AC69" s="8"/>
      <c r="AD69" s="8"/>
      <c r="AE69" s="8"/>
      <c r="AF69" s="8"/>
      <c r="AG69" s="8"/>
      <c r="AH69" s="8"/>
      <c r="AI69" s="8"/>
      <c r="AJ69" s="8"/>
      <c r="AK69" s="8"/>
      <c r="AL69" s="8"/>
      <c r="AM69" s="8"/>
      <c r="AN69" s="8"/>
      <c r="AO69" s="8"/>
      <c r="AP69" s="8"/>
      <c r="AQ69" s="8"/>
      <c r="AR69" s="8"/>
      <c r="AS69" s="12"/>
      <c r="AV69" s="112"/>
      <c r="AW69" s="112"/>
      <c r="AX69" s="112"/>
      <c r="AY69" s="112"/>
      <c r="AZ69" s="112"/>
      <c r="BA69" s="112"/>
      <c r="BB69" s="112"/>
      <c r="BC69" s="112"/>
      <c r="BD69" s="112"/>
    </row>
    <row r="70" spans="1:45" ht="51" customHeight="1">
      <c r="A70" s="1"/>
      <c r="B70" s="802"/>
      <c r="C70" s="8"/>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8"/>
      <c r="AR70" s="8"/>
      <c r="AS70" s="12"/>
    </row>
    <row r="71" spans="1:56" s="113" customFormat="1" ht="3.75" customHeight="1">
      <c r="A71" s="109"/>
      <c r="B71" s="802"/>
      <c r="C71" s="8"/>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8"/>
      <c r="AR71" s="8"/>
      <c r="AS71" s="22"/>
      <c r="AT71" s="112"/>
      <c r="AU71" s="112"/>
      <c r="AV71" s="112"/>
      <c r="AW71" s="112"/>
      <c r="AX71" s="112"/>
      <c r="AY71" s="112"/>
      <c r="AZ71" s="112"/>
      <c r="BA71" s="112"/>
      <c r="BB71" s="112"/>
      <c r="BC71" s="112"/>
      <c r="BD71" s="112"/>
    </row>
    <row r="72" spans="1:45" ht="3" customHeight="1" thickBot="1">
      <c r="A72" s="1"/>
      <c r="B72" s="803"/>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9"/>
    </row>
    <row r="73" spans="1:45" ht="3" customHeight="1">
      <c r="A73" s="1"/>
      <c r="B73" s="801" t="s">
        <v>740</v>
      </c>
      <c r="C73" s="41"/>
      <c r="D73" s="23"/>
      <c r="E73" s="42"/>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5"/>
    </row>
    <row r="74" spans="1:45" ht="15" customHeight="1">
      <c r="A74" s="1"/>
      <c r="B74" s="802"/>
      <c r="C74" s="18"/>
      <c r="D74" s="868" t="s">
        <v>511</v>
      </c>
      <c r="E74" s="869"/>
      <c r="F74" s="869"/>
      <c r="G74" s="869"/>
      <c r="H74" s="869"/>
      <c r="I74" s="869"/>
      <c r="J74" s="869"/>
      <c r="K74" s="869"/>
      <c r="L74" s="869"/>
      <c r="M74" s="869"/>
      <c r="N74" s="869"/>
      <c r="O74" s="869"/>
      <c r="P74" s="869"/>
      <c r="Q74" s="869"/>
      <c r="R74" s="869"/>
      <c r="S74" s="869"/>
      <c r="T74" s="869"/>
      <c r="U74" s="869"/>
      <c r="V74" s="752" t="s">
        <v>512</v>
      </c>
      <c r="W74" s="753"/>
      <c r="X74" s="753"/>
      <c r="Y74" s="753"/>
      <c r="Z74" s="754"/>
      <c r="AA74" s="752" t="s">
        <v>513</v>
      </c>
      <c r="AB74" s="753"/>
      <c r="AC74" s="753"/>
      <c r="AD74" s="754"/>
      <c r="AE74" s="768">
        <f>IF(Demande!B67=0,"",Demande!B67)</f>
      </c>
      <c r="AF74" s="769"/>
      <c r="AG74" s="769"/>
      <c r="AH74" s="769"/>
      <c r="AI74" s="770"/>
      <c r="AJ74" s="752" t="s">
        <v>514</v>
      </c>
      <c r="AK74" s="753"/>
      <c r="AL74" s="753"/>
      <c r="AM74" s="754"/>
      <c r="AN74" s="768">
        <f>IF(Demande!K67=0,"",Demande!K67)</f>
      </c>
      <c r="AO74" s="769"/>
      <c r="AP74" s="769"/>
      <c r="AQ74" s="770"/>
      <c r="AR74" s="141"/>
      <c r="AS74" s="44"/>
    </row>
    <row r="75" spans="1:45" ht="15" customHeight="1">
      <c r="A75" s="1"/>
      <c r="B75" s="802"/>
      <c r="C75" s="6" t="s">
        <v>21</v>
      </c>
      <c r="D75" s="847" t="s">
        <v>22</v>
      </c>
      <c r="E75" s="848"/>
      <c r="F75" s="848"/>
      <c r="G75" s="848"/>
      <c r="H75" s="848"/>
      <c r="I75" s="849"/>
      <c r="J75" s="752" t="s">
        <v>23</v>
      </c>
      <c r="K75" s="753"/>
      <c r="L75" s="753"/>
      <c r="M75" s="754"/>
      <c r="N75" s="752"/>
      <c r="O75" s="753"/>
      <c r="P75" s="753"/>
      <c r="Q75" s="754"/>
      <c r="R75" s="752" t="s">
        <v>515</v>
      </c>
      <c r="S75" s="753"/>
      <c r="T75" s="753"/>
      <c r="U75" s="754"/>
      <c r="V75" s="752" t="s">
        <v>516</v>
      </c>
      <c r="W75" s="753"/>
      <c r="X75" s="753"/>
      <c r="Y75" s="753"/>
      <c r="Z75" s="754"/>
      <c r="AA75" s="752" t="s">
        <v>517</v>
      </c>
      <c r="AB75" s="753"/>
      <c r="AC75" s="753"/>
      <c r="AD75" s="754"/>
      <c r="AE75" s="752" t="s">
        <v>518</v>
      </c>
      <c r="AF75" s="753"/>
      <c r="AG75" s="753"/>
      <c r="AH75" s="753"/>
      <c r="AI75" s="754"/>
      <c r="AJ75" s="752" t="s">
        <v>519</v>
      </c>
      <c r="AK75" s="753"/>
      <c r="AL75" s="753"/>
      <c r="AM75" s="754"/>
      <c r="AN75" s="752"/>
      <c r="AO75" s="753"/>
      <c r="AP75" s="753"/>
      <c r="AQ75" s="754"/>
      <c r="AR75" s="110"/>
      <c r="AS75" s="44"/>
    </row>
    <row r="76" spans="1:51" ht="15" customHeight="1">
      <c r="A76" s="1"/>
      <c r="B76" s="802"/>
      <c r="C76" s="18" t="e">
        <f aca="true" ca="1" t="shared" si="0" ref="C76:C81">INDEX(OFFSET(Énergie,,-1,,),MATCH(D76,Énergie,0))</f>
        <v>#N/A</v>
      </c>
      <c r="D76" s="786">
        <f ca="1">IF(Demande!B69=0,"",INDEX(OFFSET(Énergie_réduit_bis,,-2),MATCH(Demande!$B69,Énergie_réduit_bis,0)))</f>
      </c>
      <c r="E76" s="787"/>
      <c r="F76" s="787"/>
      <c r="G76" s="787"/>
      <c r="H76" s="787"/>
      <c r="I76" s="788"/>
      <c r="J76" s="789">
        <f aca="true" ca="1" t="shared" si="1" ref="J76:J81">IF(D76="","",INDEX(OFFSET(Énergie,,1),MATCH(D76,Énergie,0)))</f>
      </c>
      <c r="K76" s="789"/>
      <c r="L76" s="789"/>
      <c r="M76" s="789"/>
      <c r="N76" s="762"/>
      <c r="O76" s="763"/>
      <c r="P76" s="763"/>
      <c r="Q76" s="764"/>
      <c r="R76" s="771">
        <f>Demande!H69</f>
        <v>0</v>
      </c>
      <c r="S76" s="772"/>
      <c r="T76" s="772"/>
      <c r="U76" s="773"/>
      <c r="V76" s="774">
        <f>Demande!K69</f>
        <v>0</v>
      </c>
      <c r="W76" s="775"/>
      <c r="X76" s="775"/>
      <c r="Y76" s="775"/>
      <c r="Z76" s="776"/>
      <c r="AA76" s="765">
        <f aca="true" ca="1" t="shared" si="2" ref="AA76:AA81">IF(D76="",0,INDEX(OFFSET(Énergie,,2),MATCH(D76,Énergie,0)))*R76/1000</f>
        <v>0</v>
      </c>
      <c r="AB76" s="766"/>
      <c r="AC76" s="766"/>
      <c r="AD76" s="767"/>
      <c r="AE76" s="765">
        <f aca="true" ca="1" t="shared" si="3" ref="AE76:AE81">IF(D76="",0,INDEX(OFFSET(Énergie,,3),MATCH(D76,Énergie,0)))*R76/1000000</f>
        <v>0</v>
      </c>
      <c r="AF76" s="766"/>
      <c r="AG76" s="766"/>
      <c r="AH76" s="766"/>
      <c r="AI76" s="767"/>
      <c r="AJ76" s="759">
        <f aca="true" t="shared" si="4" ref="AJ76:AJ82">IF(AA76=0,0,V76/AA76)</f>
        <v>0</v>
      </c>
      <c r="AK76" s="760"/>
      <c r="AL76" s="760"/>
      <c r="AM76" s="761"/>
      <c r="AN76" s="762"/>
      <c r="AO76" s="763"/>
      <c r="AP76" s="763"/>
      <c r="AQ76" s="764"/>
      <c r="AR76" s="141"/>
      <c r="AS76" s="44"/>
      <c r="AT76" s="112"/>
      <c r="AU76" s="112" t="str">
        <f>Demande!H77</f>
        <v>Choisir…</v>
      </c>
      <c r="AV76" s="112"/>
      <c r="AW76" s="112"/>
      <c r="AX76" s="112"/>
      <c r="AY76" s="112"/>
    </row>
    <row r="77" spans="1:51" ht="15" customHeight="1">
      <c r="A77" s="1"/>
      <c r="B77" s="802"/>
      <c r="C77" s="27" t="e">
        <f ca="1" t="shared" si="0"/>
        <v>#N/A</v>
      </c>
      <c r="D77" s="786">
        <f ca="1">IF(Demande!B70=0,"",INDEX(OFFSET(Énergie_réduit_bis,,-2),MATCH(Demande!$B70,Énergie_réduit_bis,0)))</f>
      </c>
      <c r="E77" s="787"/>
      <c r="F77" s="787"/>
      <c r="G77" s="787"/>
      <c r="H77" s="787"/>
      <c r="I77" s="788"/>
      <c r="J77" s="789">
        <f ca="1" t="shared" si="1"/>
      </c>
      <c r="K77" s="789"/>
      <c r="L77" s="789"/>
      <c r="M77" s="789"/>
      <c r="N77" s="762"/>
      <c r="O77" s="763"/>
      <c r="P77" s="763"/>
      <c r="Q77" s="764"/>
      <c r="R77" s="771">
        <f>Demande!H70</f>
        <v>0</v>
      </c>
      <c r="S77" s="772"/>
      <c r="T77" s="772"/>
      <c r="U77" s="773"/>
      <c r="V77" s="774">
        <f>Demande!K70</f>
        <v>0</v>
      </c>
      <c r="W77" s="775"/>
      <c r="X77" s="775"/>
      <c r="Y77" s="775"/>
      <c r="Z77" s="776"/>
      <c r="AA77" s="765">
        <f ca="1" t="shared" si="2"/>
        <v>0</v>
      </c>
      <c r="AB77" s="766"/>
      <c r="AC77" s="766"/>
      <c r="AD77" s="767"/>
      <c r="AE77" s="765">
        <f ca="1" t="shared" si="3"/>
        <v>0</v>
      </c>
      <c r="AF77" s="766"/>
      <c r="AG77" s="766"/>
      <c r="AH77" s="766"/>
      <c r="AI77" s="767"/>
      <c r="AJ77" s="759">
        <f t="shared" si="4"/>
        <v>0</v>
      </c>
      <c r="AK77" s="760"/>
      <c r="AL77" s="760"/>
      <c r="AM77" s="761"/>
      <c r="AN77" s="762"/>
      <c r="AO77" s="763"/>
      <c r="AP77" s="763"/>
      <c r="AQ77" s="764"/>
      <c r="AR77" s="141"/>
      <c r="AS77" s="44"/>
      <c r="AT77" s="112"/>
      <c r="AU77" s="112"/>
      <c r="AV77" s="112"/>
      <c r="AW77" s="112"/>
      <c r="AX77" s="112"/>
      <c r="AY77" s="112"/>
    </row>
    <row r="78" spans="1:56" s="113" customFormat="1" ht="15" customHeight="1">
      <c r="A78" s="1"/>
      <c r="B78" s="802"/>
      <c r="C78" s="27" t="e">
        <f ca="1" t="shared" si="0"/>
        <v>#N/A</v>
      </c>
      <c r="D78" s="786">
        <f ca="1">IF(Demande!B71=0,"",INDEX(OFFSET(Énergie_réduit_bis,,-2),MATCH(Demande!$B71,Énergie_réduit_bis,0)))</f>
      </c>
      <c r="E78" s="787"/>
      <c r="F78" s="787"/>
      <c r="G78" s="787"/>
      <c r="H78" s="787"/>
      <c r="I78" s="788"/>
      <c r="J78" s="789">
        <f ca="1" t="shared" si="1"/>
      </c>
      <c r="K78" s="789"/>
      <c r="L78" s="789"/>
      <c r="M78" s="789"/>
      <c r="N78" s="762"/>
      <c r="O78" s="763"/>
      <c r="P78" s="763"/>
      <c r="Q78" s="764"/>
      <c r="R78" s="771">
        <f>Demande!H71</f>
        <v>0</v>
      </c>
      <c r="S78" s="772"/>
      <c r="T78" s="772"/>
      <c r="U78" s="773"/>
      <c r="V78" s="774">
        <f>Demande!K71</f>
        <v>0</v>
      </c>
      <c r="W78" s="775"/>
      <c r="X78" s="775"/>
      <c r="Y78" s="775"/>
      <c r="Z78" s="776"/>
      <c r="AA78" s="765">
        <f ca="1" t="shared" si="2"/>
        <v>0</v>
      </c>
      <c r="AB78" s="766"/>
      <c r="AC78" s="766"/>
      <c r="AD78" s="767"/>
      <c r="AE78" s="765">
        <f ca="1" t="shared" si="3"/>
        <v>0</v>
      </c>
      <c r="AF78" s="766"/>
      <c r="AG78" s="766"/>
      <c r="AH78" s="766"/>
      <c r="AI78" s="767"/>
      <c r="AJ78" s="759">
        <f t="shared" si="4"/>
        <v>0</v>
      </c>
      <c r="AK78" s="760"/>
      <c r="AL78" s="760"/>
      <c r="AM78" s="761"/>
      <c r="AN78" s="762"/>
      <c r="AO78" s="763"/>
      <c r="AP78" s="763"/>
      <c r="AQ78" s="764"/>
      <c r="AR78" s="140"/>
      <c r="AS78" s="44"/>
      <c r="AT78" s="112"/>
      <c r="AU78" s="112"/>
      <c r="AV78" s="112"/>
      <c r="AW78" s="112"/>
      <c r="AX78" s="112"/>
      <c r="AY78" s="112"/>
      <c r="AZ78" s="112"/>
      <c r="BA78" s="112"/>
      <c r="BB78" s="112"/>
      <c r="BC78" s="112"/>
      <c r="BD78" s="112"/>
    </row>
    <row r="79" spans="1:56" s="113" customFormat="1" ht="15" customHeight="1">
      <c r="A79" s="1"/>
      <c r="B79" s="802"/>
      <c r="C79" s="27" t="e">
        <f ca="1" t="shared" si="0"/>
        <v>#N/A</v>
      </c>
      <c r="D79" s="786">
        <f ca="1">IF(Demande!B72=0,"",INDEX(OFFSET(Énergie_réduit_bis,,-2),MATCH(Demande!$B72,Énergie_réduit_bis,0)))</f>
      </c>
      <c r="E79" s="787"/>
      <c r="F79" s="787"/>
      <c r="G79" s="787"/>
      <c r="H79" s="787"/>
      <c r="I79" s="788"/>
      <c r="J79" s="789">
        <f ca="1" t="shared" si="1"/>
      </c>
      <c r="K79" s="789"/>
      <c r="L79" s="789"/>
      <c r="M79" s="789"/>
      <c r="N79" s="762"/>
      <c r="O79" s="763"/>
      <c r="P79" s="763"/>
      <c r="Q79" s="764"/>
      <c r="R79" s="771">
        <f>Demande!H72</f>
        <v>0</v>
      </c>
      <c r="S79" s="772"/>
      <c r="T79" s="772"/>
      <c r="U79" s="773"/>
      <c r="V79" s="774">
        <f>Demande!K72</f>
        <v>0</v>
      </c>
      <c r="W79" s="775"/>
      <c r="X79" s="775"/>
      <c r="Y79" s="775"/>
      <c r="Z79" s="776"/>
      <c r="AA79" s="765">
        <f ca="1" t="shared" si="2"/>
        <v>0</v>
      </c>
      <c r="AB79" s="766"/>
      <c r="AC79" s="766"/>
      <c r="AD79" s="767"/>
      <c r="AE79" s="765">
        <f ca="1" t="shared" si="3"/>
        <v>0</v>
      </c>
      <c r="AF79" s="766"/>
      <c r="AG79" s="766"/>
      <c r="AH79" s="766"/>
      <c r="AI79" s="767"/>
      <c r="AJ79" s="759">
        <f t="shared" si="4"/>
        <v>0</v>
      </c>
      <c r="AK79" s="760"/>
      <c r="AL79" s="760"/>
      <c r="AM79" s="761"/>
      <c r="AN79" s="762"/>
      <c r="AO79" s="763"/>
      <c r="AP79" s="763"/>
      <c r="AQ79" s="764"/>
      <c r="AR79" s="140"/>
      <c r="AS79" s="44"/>
      <c r="AT79" s="112"/>
      <c r="AU79" s="112"/>
      <c r="AV79" s="112"/>
      <c r="AW79" s="112"/>
      <c r="AX79" s="112"/>
      <c r="AY79" s="112"/>
      <c r="AZ79" s="112"/>
      <c r="BA79" s="112"/>
      <c r="BB79" s="112"/>
      <c r="BC79" s="112"/>
      <c r="BD79" s="112"/>
    </row>
    <row r="80" spans="1:56" s="113" customFormat="1" ht="15" customHeight="1">
      <c r="A80" s="1"/>
      <c r="B80" s="802"/>
      <c r="C80" s="27" t="e">
        <f ca="1" t="shared" si="0"/>
        <v>#N/A</v>
      </c>
      <c r="D80" s="786"/>
      <c r="E80" s="787"/>
      <c r="F80" s="787"/>
      <c r="G80" s="787"/>
      <c r="H80" s="787"/>
      <c r="I80" s="788"/>
      <c r="J80" s="789">
        <f ca="1" t="shared" si="1"/>
      </c>
      <c r="K80" s="789"/>
      <c r="L80" s="789"/>
      <c r="M80" s="789"/>
      <c r="N80" s="762"/>
      <c r="O80" s="763"/>
      <c r="P80" s="763"/>
      <c r="Q80" s="764"/>
      <c r="R80" s="771">
        <v>0</v>
      </c>
      <c r="S80" s="772"/>
      <c r="T80" s="772"/>
      <c r="U80" s="773"/>
      <c r="V80" s="774">
        <v>0</v>
      </c>
      <c r="W80" s="775"/>
      <c r="X80" s="775"/>
      <c r="Y80" s="775"/>
      <c r="Z80" s="776"/>
      <c r="AA80" s="765">
        <f ca="1" t="shared" si="2"/>
        <v>0</v>
      </c>
      <c r="AB80" s="766"/>
      <c r="AC80" s="766"/>
      <c r="AD80" s="767"/>
      <c r="AE80" s="765">
        <f ca="1" t="shared" si="3"/>
        <v>0</v>
      </c>
      <c r="AF80" s="766"/>
      <c r="AG80" s="766"/>
      <c r="AH80" s="766"/>
      <c r="AI80" s="767"/>
      <c r="AJ80" s="759">
        <f t="shared" si="4"/>
        <v>0</v>
      </c>
      <c r="AK80" s="760"/>
      <c r="AL80" s="760"/>
      <c r="AM80" s="761"/>
      <c r="AN80" s="762"/>
      <c r="AO80" s="763"/>
      <c r="AP80" s="763"/>
      <c r="AQ80" s="764"/>
      <c r="AR80" s="140"/>
      <c r="AS80" s="44"/>
      <c r="AT80" s="112"/>
      <c r="AU80" s="112"/>
      <c r="AV80" s="112"/>
      <c r="AW80" s="112"/>
      <c r="AX80" s="112"/>
      <c r="AY80" s="112"/>
      <c r="AZ80" s="112"/>
      <c r="BA80" s="112"/>
      <c r="BB80" s="112"/>
      <c r="BC80" s="112"/>
      <c r="BD80" s="112"/>
    </row>
    <row r="81" spans="1:56" s="113" customFormat="1" ht="15" customHeight="1">
      <c r="A81" s="1"/>
      <c r="B81" s="802"/>
      <c r="C81" s="27" t="e">
        <f ca="1" t="shared" si="0"/>
        <v>#N/A</v>
      </c>
      <c r="D81" s="786"/>
      <c r="E81" s="787"/>
      <c r="F81" s="787"/>
      <c r="G81" s="787"/>
      <c r="H81" s="787"/>
      <c r="I81" s="788"/>
      <c r="J81" s="789">
        <f ca="1" t="shared" si="1"/>
      </c>
      <c r="K81" s="789"/>
      <c r="L81" s="789"/>
      <c r="M81" s="789"/>
      <c r="N81" s="762"/>
      <c r="O81" s="763"/>
      <c r="P81" s="763"/>
      <c r="Q81" s="764"/>
      <c r="R81" s="771">
        <v>0</v>
      </c>
      <c r="S81" s="772"/>
      <c r="T81" s="772"/>
      <c r="U81" s="773"/>
      <c r="V81" s="774">
        <v>0</v>
      </c>
      <c r="W81" s="775"/>
      <c r="X81" s="775"/>
      <c r="Y81" s="775"/>
      <c r="Z81" s="776"/>
      <c r="AA81" s="765">
        <f ca="1" t="shared" si="2"/>
        <v>0</v>
      </c>
      <c r="AB81" s="766"/>
      <c r="AC81" s="766"/>
      <c r="AD81" s="767"/>
      <c r="AE81" s="765">
        <f ca="1" t="shared" si="3"/>
        <v>0</v>
      </c>
      <c r="AF81" s="766"/>
      <c r="AG81" s="766"/>
      <c r="AH81" s="766"/>
      <c r="AI81" s="767"/>
      <c r="AJ81" s="759">
        <f t="shared" si="4"/>
        <v>0</v>
      </c>
      <c r="AK81" s="760"/>
      <c r="AL81" s="760"/>
      <c r="AM81" s="761"/>
      <c r="AN81" s="762"/>
      <c r="AO81" s="763"/>
      <c r="AP81" s="763"/>
      <c r="AQ81" s="764"/>
      <c r="AR81" s="140"/>
      <c r="AS81" s="44"/>
      <c r="AT81" s="112"/>
      <c r="AU81" s="112"/>
      <c r="AV81" s="112"/>
      <c r="AW81" s="112"/>
      <c r="AX81" s="112"/>
      <c r="AY81" s="112"/>
      <c r="AZ81" s="112"/>
      <c r="BA81" s="112"/>
      <c r="BB81" s="112"/>
      <c r="BC81" s="112"/>
      <c r="BD81" s="112"/>
    </row>
    <row r="82" spans="1:51" ht="15" customHeight="1">
      <c r="A82" s="1"/>
      <c r="B82" s="802"/>
      <c r="C82" s="18" t="e">
        <v>#N/A</v>
      </c>
      <c r="D82" s="861" t="s">
        <v>520</v>
      </c>
      <c r="E82" s="862"/>
      <c r="F82" s="862"/>
      <c r="G82" s="862"/>
      <c r="H82" s="862"/>
      <c r="I82" s="862"/>
      <c r="J82" s="862"/>
      <c r="K82" s="862"/>
      <c r="L82" s="862"/>
      <c r="M82" s="863"/>
      <c r="N82" s="762"/>
      <c r="O82" s="763"/>
      <c r="P82" s="763"/>
      <c r="Q82" s="764"/>
      <c r="R82" s="780"/>
      <c r="S82" s="781"/>
      <c r="T82" s="781"/>
      <c r="U82" s="782"/>
      <c r="V82" s="777">
        <f>SUM(V76:Z81)</f>
        <v>0</v>
      </c>
      <c r="W82" s="778"/>
      <c r="X82" s="778"/>
      <c r="Y82" s="778"/>
      <c r="Z82" s="779"/>
      <c r="AA82" s="765">
        <f>SUM(AA76:AD81)</f>
        <v>0</v>
      </c>
      <c r="AB82" s="766"/>
      <c r="AC82" s="766"/>
      <c r="AD82" s="767"/>
      <c r="AE82" s="765">
        <f>SUM(AE76:AI81)</f>
        <v>0</v>
      </c>
      <c r="AF82" s="766"/>
      <c r="AG82" s="766"/>
      <c r="AH82" s="766"/>
      <c r="AI82" s="767"/>
      <c r="AJ82" s="759">
        <f t="shared" si="4"/>
        <v>0</v>
      </c>
      <c r="AK82" s="760"/>
      <c r="AL82" s="760"/>
      <c r="AM82" s="761"/>
      <c r="AN82" s="762"/>
      <c r="AO82" s="763"/>
      <c r="AP82" s="763"/>
      <c r="AQ82" s="764"/>
      <c r="AR82" s="141"/>
      <c r="AS82" s="44"/>
      <c r="AT82" s="112"/>
      <c r="AU82" s="112"/>
      <c r="AV82" s="112"/>
      <c r="AW82" s="112"/>
      <c r="AX82" s="112"/>
      <c r="AY82" s="112"/>
    </row>
    <row r="83" spans="1:45" ht="3" customHeight="1" thickBot="1">
      <c r="A83" s="1"/>
      <c r="B83" s="803"/>
      <c r="C83" s="20"/>
      <c r="D83" s="783"/>
      <c r="E83" s="783"/>
      <c r="F83" s="783"/>
      <c r="G83" s="783"/>
      <c r="H83" s="783"/>
      <c r="I83" s="783"/>
      <c r="J83" s="783"/>
      <c r="K83" s="783"/>
      <c r="L83" s="783"/>
      <c r="M83" s="783"/>
      <c r="N83" s="783"/>
      <c r="O83" s="783"/>
      <c r="P83" s="783"/>
      <c r="Q83" s="783"/>
      <c r="R83" s="783"/>
      <c r="S83" s="783"/>
      <c r="T83" s="783"/>
      <c r="U83" s="783"/>
      <c r="V83" s="860"/>
      <c r="W83" s="860"/>
      <c r="X83" s="860"/>
      <c r="Y83" s="860"/>
      <c r="Z83" s="860"/>
      <c r="AA83" s="783"/>
      <c r="AB83" s="783"/>
      <c r="AC83" s="784"/>
      <c r="AD83" s="784"/>
      <c r="AE83" s="783"/>
      <c r="AF83" s="783"/>
      <c r="AG83" s="783"/>
      <c r="AH83" s="783"/>
      <c r="AI83" s="783"/>
      <c r="AJ83" s="875"/>
      <c r="AK83" s="875"/>
      <c r="AL83" s="875"/>
      <c r="AM83" s="875"/>
      <c r="AN83" s="875"/>
      <c r="AO83" s="755"/>
      <c r="AP83" s="755"/>
      <c r="AQ83" s="755"/>
      <c r="AR83" s="755"/>
      <c r="AS83" s="33"/>
    </row>
    <row r="84" spans="1:56" s="113" customFormat="1" ht="3" customHeight="1">
      <c r="A84" s="109"/>
      <c r="B84" s="856" t="s">
        <v>758</v>
      </c>
      <c r="C84" s="27"/>
      <c r="D84" s="112"/>
      <c r="E84" s="112"/>
      <c r="F84" s="112"/>
      <c r="G84" s="112"/>
      <c r="H84" s="112"/>
      <c r="I84" s="112"/>
      <c r="J84" s="112"/>
      <c r="K84" s="112"/>
      <c r="L84" s="112"/>
      <c r="M84" s="112"/>
      <c r="N84" s="112"/>
      <c r="O84" s="112"/>
      <c r="P84" s="112"/>
      <c r="Q84" s="112"/>
      <c r="S84" s="112"/>
      <c r="T84" s="112"/>
      <c r="U84" s="112"/>
      <c r="V84" s="112"/>
      <c r="W84" s="112"/>
      <c r="X84" s="112"/>
      <c r="Y84" s="112"/>
      <c r="Z84" s="112"/>
      <c r="AA84" s="112"/>
      <c r="AB84" s="112"/>
      <c r="AC84" s="112"/>
      <c r="AE84" s="112"/>
      <c r="AF84" s="112"/>
      <c r="AG84" s="112"/>
      <c r="AH84" s="112"/>
      <c r="AI84" s="112"/>
      <c r="AJ84" s="112"/>
      <c r="AK84" s="112"/>
      <c r="AL84" s="112"/>
      <c r="AM84" s="112"/>
      <c r="AN84" s="112"/>
      <c r="AO84" s="112"/>
      <c r="AP84" s="112"/>
      <c r="AQ84" s="8"/>
      <c r="AR84" s="8"/>
      <c r="AS84" s="22"/>
      <c r="AT84" s="112"/>
      <c r="AU84" s="112"/>
      <c r="AV84" s="112"/>
      <c r="AW84" s="112"/>
      <c r="AX84" s="112"/>
      <c r="AY84" s="112"/>
      <c r="AZ84" s="112"/>
      <c r="BA84" s="112"/>
      <c r="BB84" s="112"/>
      <c r="BC84" s="112"/>
      <c r="BD84" s="112"/>
    </row>
    <row r="85" spans="1:56" s="113" customFormat="1" ht="3" customHeight="1">
      <c r="A85" s="109"/>
      <c r="B85" s="856"/>
      <c r="C85" s="27"/>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8"/>
      <c r="AR85" s="8"/>
      <c r="AS85" s="22"/>
      <c r="AT85" s="112"/>
      <c r="AU85" s="112"/>
      <c r="AV85" s="112"/>
      <c r="AW85" s="112"/>
      <c r="AX85" s="112"/>
      <c r="AY85" s="112"/>
      <c r="AZ85" s="112"/>
      <c r="BA85" s="112"/>
      <c r="BB85" s="112"/>
      <c r="BC85" s="112"/>
      <c r="BD85" s="112"/>
    </row>
    <row r="86" spans="1:56" s="113" customFormat="1" ht="3" customHeight="1">
      <c r="A86" s="109"/>
      <c r="B86" s="856"/>
      <c r="C86" s="27"/>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8"/>
      <c r="AR86" s="8"/>
      <c r="AS86" s="22"/>
      <c r="AT86" s="112"/>
      <c r="AU86" s="112"/>
      <c r="AV86" s="112"/>
      <c r="AW86" s="112"/>
      <c r="AX86" s="112"/>
      <c r="AY86" s="112"/>
      <c r="AZ86" s="112"/>
      <c r="BA86" s="112"/>
      <c r="BB86" s="112"/>
      <c r="BC86" s="112"/>
      <c r="BD86" s="112"/>
    </row>
    <row r="87" spans="1:56" s="113" customFormat="1" ht="3" customHeight="1">
      <c r="A87" s="109"/>
      <c r="B87" s="856"/>
      <c r="C87" s="27"/>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8"/>
      <c r="AR87" s="8"/>
      <c r="AS87" s="22"/>
      <c r="AT87" s="112"/>
      <c r="AU87" s="112"/>
      <c r="AV87" s="112"/>
      <c r="AW87" s="112"/>
      <c r="AX87" s="112"/>
      <c r="AY87" s="112"/>
      <c r="AZ87" s="112"/>
      <c r="BA87" s="112"/>
      <c r="BB87" s="112"/>
      <c r="BC87" s="112"/>
      <c r="BD87" s="112"/>
    </row>
    <row r="88" spans="1:56" s="113" customFormat="1" ht="3" customHeight="1">
      <c r="A88" s="109"/>
      <c r="B88" s="856"/>
      <c r="C88" s="27"/>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8"/>
      <c r="AR88" s="8"/>
      <c r="AS88" s="22"/>
      <c r="AT88" s="112"/>
      <c r="AU88" s="112"/>
      <c r="AV88" s="112"/>
      <c r="AW88" s="112"/>
      <c r="AX88" s="112"/>
      <c r="AY88" s="112"/>
      <c r="AZ88" s="112"/>
      <c r="BA88" s="112"/>
      <c r="BB88" s="112"/>
      <c r="BC88" s="112"/>
      <c r="BD88" s="112"/>
    </row>
    <row r="89" spans="1:56" s="113" customFormat="1" ht="3" customHeight="1">
      <c r="A89" s="109"/>
      <c r="B89" s="856"/>
      <c r="C89" s="27"/>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8"/>
      <c r="AR89" s="8"/>
      <c r="AS89" s="22"/>
      <c r="AT89" s="112"/>
      <c r="AU89" s="112"/>
      <c r="AV89" s="112"/>
      <c r="AW89" s="112"/>
      <c r="AX89" s="112"/>
      <c r="AY89" s="112"/>
      <c r="AZ89" s="112"/>
      <c r="BA89" s="112"/>
      <c r="BB89" s="112"/>
      <c r="BC89" s="112"/>
      <c r="BD89" s="112"/>
    </row>
    <row r="90" spans="1:56" s="113" customFormat="1" ht="3" customHeight="1">
      <c r="A90" s="109"/>
      <c r="B90" s="856"/>
      <c r="C90" s="27"/>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8"/>
      <c r="AR90" s="8"/>
      <c r="AS90" s="22"/>
      <c r="AT90" s="112"/>
      <c r="AU90" s="112"/>
      <c r="AV90" s="112"/>
      <c r="AW90" s="112"/>
      <c r="AX90" s="112"/>
      <c r="AY90" s="112"/>
      <c r="AZ90" s="112"/>
      <c r="BA90" s="112"/>
      <c r="BB90" s="112"/>
      <c r="BC90" s="112"/>
      <c r="BD90" s="112"/>
    </row>
    <row r="91" spans="1:56" s="113" customFormat="1" ht="3" customHeight="1">
      <c r="A91" s="109"/>
      <c r="B91" s="856"/>
      <c r="C91" s="27"/>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8"/>
      <c r="AR91" s="8"/>
      <c r="AS91" s="22"/>
      <c r="AT91" s="112"/>
      <c r="AU91" s="112"/>
      <c r="AV91" s="112"/>
      <c r="AW91" s="112"/>
      <c r="AX91" s="112"/>
      <c r="AY91" s="112"/>
      <c r="AZ91" s="112"/>
      <c r="BA91" s="112"/>
      <c r="BB91" s="112"/>
      <c r="BC91" s="112"/>
      <c r="BD91" s="112"/>
    </row>
    <row r="92" spans="1:56" s="113" customFormat="1" ht="15">
      <c r="A92" s="109"/>
      <c r="B92" s="856"/>
      <c r="C92" s="27"/>
      <c r="D92" s="752" t="s">
        <v>748</v>
      </c>
      <c r="E92" s="753"/>
      <c r="F92" s="752" t="s">
        <v>749</v>
      </c>
      <c r="G92" s="753"/>
      <c r="H92" s="753"/>
      <c r="I92" s="753"/>
      <c r="J92" s="753"/>
      <c r="K92" s="753"/>
      <c r="L92" s="753"/>
      <c r="M92" s="753"/>
      <c r="N92" s="753"/>
      <c r="O92" s="754"/>
      <c r="P92" s="752" t="s">
        <v>753</v>
      </c>
      <c r="Q92" s="753"/>
      <c r="R92" s="753"/>
      <c r="S92" s="753"/>
      <c r="T92" s="753"/>
      <c r="U92" s="754"/>
      <c r="V92" s="752" t="s">
        <v>1010</v>
      </c>
      <c r="W92" s="753"/>
      <c r="X92" s="753"/>
      <c r="Y92" s="753"/>
      <c r="Z92" s="754"/>
      <c r="AA92" s="752" t="s">
        <v>23</v>
      </c>
      <c r="AB92" s="753"/>
      <c r="AC92" s="753"/>
      <c r="AD92" s="754"/>
      <c r="AE92" s="752" t="s">
        <v>518</v>
      </c>
      <c r="AF92" s="753"/>
      <c r="AG92" s="753"/>
      <c r="AH92" s="753"/>
      <c r="AI92" s="754"/>
      <c r="AJ92" s="752" t="s">
        <v>750</v>
      </c>
      <c r="AK92" s="753"/>
      <c r="AL92" s="753"/>
      <c r="AM92" s="754"/>
      <c r="AN92" s="752" t="s">
        <v>1011</v>
      </c>
      <c r="AO92" s="753"/>
      <c r="AP92" s="753"/>
      <c r="AQ92" s="754"/>
      <c r="AR92" s="8"/>
      <c r="AS92" s="22"/>
      <c r="AT92" s="112"/>
      <c r="AU92" s="112"/>
      <c r="AV92" s="112"/>
      <c r="AW92" s="112"/>
      <c r="AX92" s="112"/>
      <c r="AY92" s="112"/>
      <c r="AZ92" s="112"/>
      <c r="BA92" s="112"/>
      <c r="BB92" s="112"/>
      <c r="BC92" s="112"/>
      <c r="BD92" s="112"/>
    </row>
    <row r="93" spans="1:56" s="113" customFormat="1" ht="15">
      <c r="A93" s="109"/>
      <c r="B93" s="856"/>
      <c r="C93" s="27"/>
      <c r="D93" s="858">
        <v>1</v>
      </c>
      <c r="E93" s="859"/>
      <c r="F93" s="738" t="str">
        <f>Demande!B77</f>
        <v>Choisir…</v>
      </c>
      <c r="G93" s="785"/>
      <c r="H93" s="785"/>
      <c r="I93" s="785"/>
      <c r="J93" s="785"/>
      <c r="K93" s="785"/>
      <c r="L93" s="785"/>
      <c r="M93" s="785"/>
      <c r="N93" s="785"/>
      <c r="O93" s="739"/>
      <c r="P93" s="746">
        <f ca="1">IF(Demande!H77="Choisir…","",INDEX(OFFSET(Énergie_réduit_bis,,-2),MATCH(Demande!H77,Énergie_réduit_bis,0)))</f>
      </c>
      <c r="Q93" s="747"/>
      <c r="R93" s="747"/>
      <c r="S93" s="747"/>
      <c r="T93" s="747"/>
      <c r="U93" s="748"/>
      <c r="V93" s="746">
        <f>IF(Demande!N77=0,"",Demande!N77)</f>
      </c>
      <c r="W93" s="747"/>
      <c r="X93" s="747"/>
      <c r="Y93" s="747"/>
      <c r="Z93" s="748"/>
      <c r="AA93" s="765">
        <f ca="1">IF(P93="","",INDEX(OFFSET(Énergie_réduit,,1),MATCH(P93,Énergie_réduit,0)))</f>
      </c>
      <c r="AB93" s="766"/>
      <c r="AC93" s="766"/>
      <c r="AD93" s="767"/>
      <c r="AE93" s="780">
        <f>SUM('2. Plan d''implantation'!P16:P22)</f>
        <v>0</v>
      </c>
      <c r="AF93" s="781"/>
      <c r="AG93" s="781"/>
      <c r="AH93" s="781"/>
      <c r="AI93" s="782"/>
      <c r="AJ93" s="876">
        <f>SUM('2. Plan d''implantation'!N16:N22)</f>
        <v>0</v>
      </c>
      <c r="AK93" s="877"/>
      <c r="AL93" s="877"/>
      <c r="AM93" s="878"/>
      <c r="AN93" s="876">
        <f>'2. Plan d''implantation'!U16</f>
        <v>0</v>
      </c>
      <c r="AO93" s="877"/>
      <c r="AP93" s="877"/>
      <c r="AQ93" s="878"/>
      <c r="AR93" s="8"/>
      <c r="AS93" s="22"/>
      <c r="AT93" s="112"/>
      <c r="AU93" s="112"/>
      <c r="AV93" s="112"/>
      <c r="AW93" s="112"/>
      <c r="AX93" s="112"/>
      <c r="AY93" s="112"/>
      <c r="AZ93" s="112"/>
      <c r="BA93" s="112"/>
      <c r="BB93" s="112"/>
      <c r="BC93" s="112"/>
      <c r="BD93" s="112"/>
    </row>
    <row r="94" spans="1:56" s="113" customFormat="1" ht="3" customHeight="1">
      <c r="A94" s="109"/>
      <c r="B94" s="856"/>
      <c r="C94" s="27"/>
      <c r="D94" s="112"/>
      <c r="E94" s="112"/>
      <c r="F94" s="112"/>
      <c r="G94" s="112"/>
      <c r="H94" s="112"/>
      <c r="I94" s="112"/>
      <c r="J94" s="112"/>
      <c r="K94" s="112"/>
      <c r="L94" s="112"/>
      <c r="M94" s="112"/>
      <c r="N94" s="112"/>
      <c r="O94" s="112"/>
      <c r="P94" s="112"/>
      <c r="Q94" s="112"/>
      <c r="S94" s="112"/>
      <c r="T94" s="112"/>
      <c r="U94" s="112"/>
      <c r="V94" s="112"/>
      <c r="W94" s="112"/>
      <c r="X94" s="112"/>
      <c r="Y94" s="112"/>
      <c r="Z94" s="112"/>
      <c r="AA94" s="112"/>
      <c r="AB94" s="112"/>
      <c r="AC94" s="112"/>
      <c r="AE94" s="112"/>
      <c r="AF94" s="112"/>
      <c r="AG94" s="112"/>
      <c r="AH94" s="112"/>
      <c r="AI94" s="112"/>
      <c r="AJ94" s="112"/>
      <c r="AK94" s="112"/>
      <c r="AL94" s="112"/>
      <c r="AM94" s="112"/>
      <c r="AN94" s="112"/>
      <c r="AO94" s="112"/>
      <c r="AP94" s="112"/>
      <c r="AQ94" s="8"/>
      <c r="AR94" s="8"/>
      <c r="AS94" s="22"/>
      <c r="AT94" s="112"/>
      <c r="AU94" s="112"/>
      <c r="AV94" s="112"/>
      <c r="AW94" s="112"/>
      <c r="AX94" s="112"/>
      <c r="AY94" s="112"/>
      <c r="AZ94" s="112"/>
      <c r="BA94" s="112"/>
      <c r="BB94" s="112"/>
      <c r="BC94" s="112"/>
      <c r="BD94" s="112"/>
    </row>
    <row r="95" spans="1:56" s="113" customFormat="1" ht="15" customHeight="1">
      <c r="A95" s="109"/>
      <c r="B95" s="856"/>
      <c r="C95" s="27"/>
      <c r="D95" s="110" t="s">
        <v>186</v>
      </c>
      <c r="E95" s="112"/>
      <c r="F95" s="112"/>
      <c r="G95" s="112"/>
      <c r="H95" s="738" t="str">
        <f>Demande!B81</f>
        <v>Choisir…</v>
      </c>
      <c r="I95" s="785"/>
      <c r="J95" s="785"/>
      <c r="K95" s="739"/>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44"/>
      <c r="AT95" s="112"/>
      <c r="AU95" s="112"/>
      <c r="AV95" s="112"/>
      <c r="AW95" s="112"/>
      <c r="AX95" s="112"/>
      <c r="AY95" s="112"/>
      <c r="AZ95" s="112"/>
      <c r="BA95" s="112"/>
      <c r="BB95" s="112"/>
      <c r="BC95" s="112"/>
      <c r="BD95" s="112"/>
    </row>
    <row r="96" spans="1:56" s="113" customFormat="1" ht="3" customHeight="1">
      <c r="A96" s="109"/>
      <c r="B96" s="856"/>
      <c r="C96" s="27"/>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8"/>
      <c r="AR96" s="8"/>
      <c r="AS96" s="22"/>
      <c r="AT96" s="112"/>
      <c r="AU96" s="112"/>
      <c r="AV96" s="112"/>
      <c r="AW96" s="112"/>
      <c r="AX96" s="112"/>
      <c r="AY96" s="112"/>
      <c r="AZ96" s="112"/>
      <c r="BA96" s="112"/>
      <c r="BB96" s="112"/>
      <c r="BC96" s="112"/>
      <c r="BD96" s="112"/>
    </row>
    <row r="97" spans="1:56" s="113" customFormat="1" ht="15" customHeight="1">
      <c r="A97" s="109"/>
      <c r="B97" s="856"/>
      <c r="C97" s="27"/>
      <c r="D97" s="300" t="s">
        <v>741</v>
      </c>
      <c r="E97" s="300"/>
      <c r="F97" s="144"/>
      <c r="G97" s="144"/>
      <c r="H97" s="888">
        <f>IF(Demande!F81=0,"",Demande!F81)</f>
      </c>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90"/>
      <c r="AR97" s="115"/>
      <c r="AS97" s="44"/>
      <c r="AT97" s="112"/>
      <c r="AU97" s="112"/>
      <c r="AV97" s="112"/>
      <c r="AW97" s="112"/>
      <c r="AX97" s="112"/>
      <c r="AY97" s="112"/>
      <c r="AZ97" s="112"/>
      <c r="BA97" s="112"/>
      <c r="BB97" s="112"/>
      <c r="BC97" s="112"/>
      <c r="BD97" s="112"/>
    </row>
    <row r="98" spans="1:56" s="113" customFormat="1" ht="3" customHeight="1">
      <c r="A98" s="109"/>
      <c r="B98" s="856"/>
      <c r="C98" s="27"/>
      <c r="D98" s="112"/>
      <c r="E98" s="112"/>
      <c r="F98" s="112"/>
      <c r="G98" s="112"/>
      <c r="H98" s="112"/>
      <c r="I98" s="112"/>
      <c r="J98" s="112"/>
      <c r="K98" s="112"/>
      <c r="L98" s="112"/>
      <c r="M98" s="112"/>
      <c r="N98" s="112"/>
      <c r="O98" s="112"/>
      <c r="P98" s="112"/>
      <c r="Q98" s="112"/>
      <c r="S98" s="112"/>
      <c r="T98" s="112"/>
      <c r="U98" s="112"/>
      <c r="V98" s="112"/>
      <c r="W98" s="112"/>
      <c r="X98" s="112"/>
      <c r="Y98" s="112"/>
      <c r="Z98" s="112"/>
      <c r="AA98" s="112"/>
      <c r="AB98" s="112"/>
      <c r="AC98" s="112"/>
      <c r="AE98" s="112"/>
      <c r="AF98" s="112"/>
      <c r="AG98" s="112"/>
      <c r="AH98" s="112"/>
      <c r="AI98" s="112"/>
      <c r="AJ98" s="112"/>
      <c r="AK98" s="112"/>
      <c r="AL98" s="112"/>
      <c r="AM98" s="112"/>
      <c r="AN98" s="112"/>
      <c r="AO98" s="112"/>
      <c r="AP98" s="112"/>
      <c r="AQ98" s="8"/>
      <c r="AR98" s="8"/>
      <c r="AS98" s="22"/>
      <c r="AT98" s="112"/>
      <c r="AU98" s="112"/>
      <c r="AV98" s="112"/>
      <c r="AW98" s="112"/>
      <c r="AX98" s="112"/>
      <c r="AY98" s="112"/>
      <c r="AZ98" s="112"/>
      <c r="BA98" s="112"/>
      <c r="BB98" s="112"/>
      <c r="BC98" s="112"/>
      <c r="BD98" s="112"/>
    </row>
    <row r="99" spans="1:56" s="113" customFormat="1" ht="15" customHeight="1">
      <c r="A99" s="109"/>
      <c r="B99" s="856"/>
      <c r="C99" s="27"/>
      <c r="D99" s="300" t="s">
        <v>742</v>
      </c>
      <c r="E99" s="300"/>
      <c r="F99" s="144"/>
      <c r="G99" s="144"/>
      <c r="H99" s="144"/>
      <c r="I99" s="144"/>
      <c r="J99" s="144"/>
      <c r="K99" s="144"/>
      <c r="L99" s="144"/>
      <c r="M99" s="144"/>
      <c r="N99" s="149" t="s">
        <v>743</v>
      </c>
      <c r="O99" s="768">
        <f>IF(Demande!F83=0,"",Demande!F83)</f>
      </c>
      <c r="P99" s="769"/>
      <c r="Q99" s="769"/>
      <c r="R99" s="770"/>
      <c r="S99" s="110"/>
      <c r="T99" s="110"/>
      <c r="U99" s="110"/>
      <c r="V99" s="110"/>
      <c r="W99" s="110"/>
      <c r="X99" s="110"/>
      <c r="Y99" s="110"/>
      <c r="Z99" s="110"/>
      <c r="AA99" s="39" t="s">
        <v>744</v>
      </c>
      <c r="AB99" s="768"/>
      <c r="AC99" s="769"/>
      <c r="AD99" s="769"/>
      <c r="AE99" s="770"/>
      <c r="AF99" s="110"/>
      <c r="AG99" s="110"/>
      <c r="AH99" s="110"/>
      <c r="AI99" s="110"/>
      <c r="AJ99" s="110"/>
      <c r="AK99" s="110"/>
      <c r="AL99" s="110"/>
      <c r="AM99" s="39" t="s">
        <v>745</v>
      </c>
      <c r="AN99" s="768">
        <f>IF(Demande!M83=0,"",Demande!M83)</f>
      </c>
      <c r="AO99" s="769"/>
      <c r="AP99" s="769"/>
      <c r="AQ99" s="770"/>
      <c r="AR99" s="110"/>
      <c r="AS99" s="44"/>
      <c r="AT99" s="112"/>
      <c r="AU99" s="112"/>
      <c r="AV99" s="112"/>
      <c r="AW99" s="112"/>
      <c r="AX99" s="112"/>
      <c r="AY99" s="112"/>
      <c r="AZ99" s="112"/>
      <c r="BA99" s="112"/>
      <c r="BB99" s="112"/>
      <c r="BC99" s="112"/>
      <c r="BD99" s="112"/>
    </row>
    <row r="100" spans="1:56" s="113" customFormat="1" ht="15" customHeight="1">
      <c r="A100" s="109"/>
      <c r="B100" s="856"/>
      <c r="C100" s="27"/>
      <c r="D100"/>
      <c r="E100" s="148"/>
      <c r="F100" s="148"/>
      <c r="G100" s="148"/>
      <c r="H100" s="148"/>
      <c r="I100" s="148"/>
      <c r="J100" s="148"/>
      <c r="K100" s="110"/>
      <c r="L100" s="110"/>
      <c r="M100" s="110"/>
      <c r="N100" s="110"/>
      <c r="O100" s="144" t="s">
        <v>746</v>
      </c>
      <c r="P100" s="144"/>
      <c r="Q100" s="144"/>
      <c r="R100" s="144"/>
      <c r="S100" s="110"/>
      <c r="T100" s="110"/>
      <c r="U100" s="110"/>
      <c r="V100" s="110"/>
      <c r="W100" s="110"/>
      <c r="X100" s="110"/>
      <c r="Y100" s="110"/>
      <c r="Z100" s="110"/>
      <c r="AA100" s="39" t="s">
        <v>747</v>
      </c>
      <c r="AB100" s="144" t="s">
        <v>746</v>
      </c>
      <c r="AC100" s="144"/>
      <c r="AD100" s="144"/>
      <c r="AE100" s="144"/>
      <c r="AF100" s="110"/>
      <c r="AG100" s="110"/>
      <c r="AH100" s="110"/>
      <c r="AI100" s="110"/>
      <c r="AJ100" s="110"/>
      <c r="AK100" s="110"/>
      <c r="AL100" s="110"/>
      <c r="AM100" s="110"/>
      <c r="AN100" s="891" t="s">
        <v>746</v>
      </c>
      <c r="AO100" s="891"/>
      <c r="AP100" s="891"/>
      <c r="AQ100" s="891"/>
      <c r="AR100" s="110"/>
      <c r="AS100" s="44"/>
      <c r="AT100" s="112"/>
      <c r="AU100" s="112"/>
      <c r="AV100" s="112"/>
      <c r="AW100" s="112"/>
      <c r="AX100" s="112"/>
      <c r="AY100" s="112"/>
      <c r="AZ100" s="112"/>
      <c r="BA100" s="112"/>
      <c r="BB100" s="112"/>
      <c r="BC100" s="112"/>
      <c r="BD100" s="112"/>
    </row>
    <row r="101" spans="1:56" s="113" customFormat="1" ht="3" customHeight="1">
      <c r="A101" s="109"/>
      <c r="B101" s="856"/>
      <c r="C101" s="27"/>
      <c r="D101" s="112"/>
      <c r="E101" s="112"/>
      <c r="F101" s="112"/>
      <c r="G101" s="112"/>
      <c r="H101" s="112"/>
      <c r="I101" s="112"/>
      <c r="J101" s="112"/>
      <c r="K101" s="112"/>
      <c r="L101" s="112"/>
      <c r="M101" s="112"/>
      <c r="N101" s="112"/>
      <c r="O101" s="112"/>
      <c r="P101" s="112"/>
      <c r="Q101" s="112"/>
      <c r="S101" s="112"/>
      <c r="T101" s="112"/>
      <c r="U101" s="112"/>
      <c r="V101" s="112"/>
      <c r="W101" s="112"/>
      <c r="X101" s="112"/>
      <c r="Y101" s="112"/>
      <c r="Z101" s="112"/>
      <c r="AA101" s="112"/>
      <c r="AB101" s="112"/>
      <c r="AC101" s="112"/>
      <c r="AE101" s="112"/>
      <c r="AF101" s="112"/>
      <c r="AG101" s="112"/>
      <c r="AH101" s="112"/>
      <c r="AI101" s="112"/>
      <c r="AJ101" s="112"/>
      <c r="AK101" s="112"/>
      <c r="AL101" s="112"/>
      <c r="AM101" s="112"/>
      <c r="AN101" s="112"/>
      <c r="AO101" s="112"/>
      <c r="AP101" s="112"/>
      <c r="AQ101" s="8"/>
      <c r="AR101" s="8"/>
      <c r="AS101" s="22"/>
      <c r="AT101" s="112"/>
      <c r="AU101" s="112"/>
      <c r="AV101" s="112"/>
      <c r="AW101" s="112"/>
      <c r="AX101" s="112"/>
      <c r="AY101" s="112"/>
      <c r="AZ101" s="112"/>
      <c r="BA101" s="112"/>
      <c r="BB101" s="112"/>
      <c r="BC101" s="112"/>
      <c r="BD101" s="112"/>
    </row>
    <row r="102" spans="1:56" s="113" customFormat="1" ht="15" customHeight="1">
      <c r="A102" s="109"/>
      <c r="B102" s="856"/>
      <c r="C102" s="27"/>
      <c r="D102" s="805" t="s">
        <v>564</v>
      </c>
      <c r="E102" s="805"/>
      <c r="F102" s="805"/>
      <c r="G102" s="805"/>
      <c r="H102" s="805"/>
      <c r="I102" s="805"/>
      <c r="J102" s="805"/>
      <c r="K102" s="805"/>
      <c r="L102" s="805"/>
      <c r="M102" s="805"/>
      <c r="N102" s="805"/>
      <c r="O102" s="805"/>
      <c r="P102" s="805"/>
      <c r="Q102" s="805"/>
      <c r="R102" s="805"/>
      <c r="S102" s="805"/>
      <c r="T102" s="805"/>
      <c r="U102" s="805"/>
      <c r="V102" s="805"/>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44"/>
      <c r="AT102" s="112"/>
      <c r="AU102" s="112"/>
      <c r="AV102" s="112"/>
      <c r="AW102" s="112"/>
      <c r="AX102" s="112"/>
      <c r="AY102" s="112"/>
      <c r="AZ102" s="112"/>
      <c r="BA102" s="112"/>
      <c r="BB102" s="112"/>
      <c r="BC102" s="112"/>
      <c r="BD102" s="112"/>
    </row>
    <row r="103" spans="1:56" s="113" customFormat="1" ht="15" customHeight="1">
      <c r="A103" s="109"/>
      <c r="B103" s="856"/>
      <c r="C103" s="27"/>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44"/>
      <c r="AT103" s="112"/>
      <c r="AU103" s="112"/>
      <c r="AV103" s="112"/>
      <c r="AW103" s="112"/>
      <c r="AX103" s="112"/>
      <c r="AY103" s="112"/>
      <c r="AZ103" s="112"/>
      <c r="BA103" s="112"/>
      <c r="BB103" s="112"/>
      <c r="BC103" s="112"/>
      <c r="BD103" s="112"/>
    </row>
    <row r="104" spans="1:45" ht="15" customHeight="1">
      <c r="A104" s="1"/>
      <c r="B104" s="856"/>
      <c r="C104" s="18"/>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44"/>
    </row>
    <row r="105" spans="1:45" ht="15" customHeight="1">
      <c r="A105" s="1"/>
      <c r="B105" s="856"/>
      <c r="C105" s="18"/>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44"/>
    </row>
    <row r="106" spans="1:45" ht="3" customHeight="1" thickBot="1">
      <c r="A106" s="1"/>
      <c r="B106" s="857"/>
      <c r="C106" s="20"/>
      <c r="D106" s="843"/>
      <c r="E106" s="843"/>
      <c r="F106" s="843"/>
      <c r="G106" s="843"/>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33"/>
    </row>
    <row r="107" spans="1:56" s="113" customFormat="1" ht="3" customHeight="1">
      <c r="A107" s="109"/>
      <c r="B107" s="870" t="s">
        <v>759</v>
      </c>
      <c r="C107" s="2"/>
      <c r="D107" s="834"/>
      <c r="E107" s="834"/>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44"/>
      <c r="AT107" s="112"/>
      <c r="AU107" s="112"/>
      <c r="AV107" s="112"/>
      <c r="AW107" s="112"/>
      <c r="AX107" s="112"/>
      <c r="AY107" s="112"/>
      <c r="AZ107" s="112"/>
      <c r="BA107" s="112"/>
      <c r="BB107" s="112"/>
      <c r="BC107" s="112"/>
      <c r="BD107" s="112"/>
    </row>
    <row r="108" spans="1:56" s="113" customFormat="1" ht="15" customHeight="1">
      <c r="A108" s="109"/>
      <c r="B108" s="856"/>
      <c r="C108" s="27"/>
      <c r="D108" s="868" t="s">
        <v>148</v>
      </c>
      <c r="E108" s="869"/>
      <c r="F108" s="869"/>
      <c r="G108" s="869"/>
      <c r="H108" s="869" t="s">
        <v>521</v>
      </c>
      <c r="I108" s="869"/>
      <c r="J108" s="869"/>
      <c r="K108" s="869"/>
      <c r="L108" s="869"/>
      <c r="M108" s="869"/>
      <c r="N108" s="869"/>
      <c r="O108" s="869"/>
      <c r="P108" s="869"/>
      <c r="Q108" s="879"/>
      <c r="R108" s="752" t="s">
        <v>565</v>
      </c>
      <c r="S108" s="753"/>
      <c r="T108" s="753"/>
      <c r="U108" s="753"/>
      <c r="V108" s="753"/>
      <c r="W108" s="753"/>
      <c r="X108" s="753"/>
      <c r="Y108" s="753"/>
      <c r="Z108" s="753"/>
      <c r="AA108" s="753"/>
      <c r="AB108" s="753"/>
      <c r="AC108" s="753"/>
      <c r="AD108" s="754"/>
      <c r="AE108" s="880" t="s">
        <v>566</v>
      </c>
      <c r="AF108" s="881"/>
      <c r="AG108" s="881"/>
      <c r="AH108" s="881"/>
      <c r="AI108" s="881"/>
      <c r="AJ108" s="881"/>
      <c r="AK108" s="881"/>
      <c r="AL108" s="881"/>
      <c r="AM108" s="881"/>
      <c r="AN108" s="881"/>
      <c r="AO108" s="881"/>
      <c r="AP108" s="881"/>
      <c r="AQ108" s="882"/>
      <c r="AR108" s="115"/>
      <c r="AS108" s="44"/>
      <c r="AT108" s="112"/>
      <c r="AU108" s="112"/>
      <c r="AV108" s="112"/>
      <c r="AW108" s="112"/>
      <c r="AX108" s="112"/>
      <c r="AY108" s="112"/>
      <c r="AZ108" s="112"/>
      <c r="BA108" s="112"/>
      <c r="BB108" s="112"/>
      <c r="BC108" s="112"/>
      <c r="BD108" s="112"/>
    </row>
    <row r="109" spans="1:56" s="113" customFormat="1" ht="15" customHeight="1">
      <c r="A109" s="109"/>
      <c r="B109" s="856"/>
      <c r="C109" s="27"/>
      <c r="D109" s="142" t="s">
        <v>20</v>
      </c>
      <c r="E109" s="143"/>
      <c r="F109" s="143"/>
      <c r="G109" s="143"/>
      <c r="H109" s="143"/>
      <c r="I109" s="143"/>
      <c r="J109" s="143"/>
      <c r="K109" s="143"/>
      <c r="L109" s="143"/>
      <c r="M109" s="143"/>
      <c r="N109" s="143"/>
      <c r="O109" s="143"/>
      <c r="P109" s="143"/>
      <c r="Q109" s="143"/>
      <c r="R109" s="752" t="s">
        <v>522</v>
      </c>
      <c r="S109" s="753"/>
      <c r="T109" s="753"/>
      <c r="U109" s="754"/>
      <c r="V109" s="752" t="s">
        <v>523</v>
      </c>
      <c r="W109" s="753"/>
      <c r="X109" s="753"/>
      <c r="Y109" s="753"/>
      <c r="Z109" s="754"/>
      <c r="AA109" s="752" t="s">
        <v>520</v>
      </c>
      <c r="AB109" s="753"/>
      <c r="AC109" s="753"/>
      <c r="AD109" s="754"/>
      <c r="AE109" s="752" t="s">
        <v>522</v>
      </c>
      <c r="AF109" s="753"/>
      <c r="AG109" s="753"/>
      <c r="AH109" s="753"/>
      <c r="AI109" s="754"/>
      <c r="AJ109" s="752" t="s">
        <v>523</v>
      </c>
      <c r="AK109" s="753"/>
      <c r="AL109" s="753"/>
      <c r="AM109" s="754"/>
      <c r="AN109" s="752" t="s">
        <v>520</v>
      </c>
      <c r="AO109" s="753"/>
      <c r="AP109" s="753"/>
      <c r="AQ109" s="754"/>
      <c r="AR109" s="110"/>
      <c r="AS109" s="44"/>
      <c r="AT109" s="112"/>
      <c r="AU109" s="112"/>
      <c r="AV109" s="112"/>
      <c r="AW109" s="112"/>
      <c r="AX109" s="112"/>
      <c r="AY109" s="112"/>
      <c r="AZ109" s="112"/>
      <c r="BA109" s="112"/>
      <c r="BB109" s="112"/>
      <c r="BC109" s="112"/>
      <c r="BD109" s="112"/>
    </row>
    <row r="110" spans="1:56" s="113" customFormat="1" ht="15" customHeight="1">
      <c r="A110" s="109"/>
      <c r="B110" s="856"/>
      <c r="C110" s="27"/>
      <c r="D110" s="798" t="s">
        <v>38</v>
      </c>
      <c r="E110" s="799"/>
      <c r="F110" s="799"/>
      <c r="G110" s="799"/>
      <c r="H110" s="799"/>
      <c r="I110" s="799"/>
      <c r="J110" s="799"/>
      <c r="K110" s="799"/>
      <c r="L110" s="799"/>
      <c r="M110" s="799"/>
      <c r="N110" s="799"/>
      <c r="O110" s="799"/>
      <c r="P110" s="799"/>
      <c r="Q110" s="800"/>
      <c r="R110" s="810">
        <v>0</v>
      </c>
      <c r="S110" s="811"/>
      <c r="T110" s="811"/>
      <c r="U110" s="812"/>
      <c r="V110" s="810">
        <v>0</v>
      </c>
      <c r="W110" s="811"/>
      <c r="X110" s="811"/>
      <c r="Y110" s="811"/>
      <c r="Z110" s="812"/>
      <c r="AA110" s="813">
        <f aca="true" t="shared" si="5" ref="AA110:AA115">R110+V110</f>
        <v>0</v>
      </c>
      <c r="AB110" s="814"/>
      <c r="AC110" s="814"/>
      <c r="AD110" s="815"/>
      <c r="AE110" s="810">
        <v>0</v>
      </c>
      <c r="AF110" s="811"/>
      <c r="AG110" s="811"/>
      <c r="AH110" s="811"/>
      <c r="AI110" s="812"/>
      <c r="AJ110" s="810">
        <v>0</v>
      </c>
      <c r="AK110" s="811"/>
      <c r="AL110" s="811"/>
      <c r="AM110" s="812"/>
      <c r="AN110" s="813">
        <f aca="true" t="shared" si="6" ref="AN110:AN115">AE110+AJ110</f>
        <v>0</v>
      </c>
      <c r="AO110" s="814"/>
      <c r="AP110" s="814"/>
      <c r="AQ110" s="815"/>
      <c r="AR110" s="110"/>
      <c r="AS110" s="44"/>
      <c r="AT110" s="112"/>
      <c r="AU110" s="112"/>
      <c r="AV110" s="112"/>
      <c r="AW110" s="112"/>
      <c r="AX110" s="112"/>
      <c r="AY110" s="112"/>
      <c r="AZ110" s="112"/>
      <c r="BA110" s="112"/>
      <c r="BB110" s="112"/>
      <c r="BC110" s="112"/>
      <c r="BD110" s="112"/>
    </row>
    <row r="111" spans="1:56" s="113" customFormat="1" ht="15" customHeight="1">
      <c r="A111" s="109"/>
      <c r="B111" s="856"/>
      <c r="C111" s="27"/>
      <c r="D111" s="798" t="s">
        <v>524</v>
      </c>
      <c r="E111" s="799"/>
      <c r="F111" s="799"/>
      <c r="G111" s="799"/>
      <c r="H111" s="799"/>
      <c r="I111" s="799"/>
      <c r="J111" s="799"/>
      <c r="K111" s="799"/>
      <c r="L111" s="799"/>
      <c r="M111" s="799"/>
      <c r="N111" s="799"/>
      <c r="O111" s="799"/>
      <c r="P111" s="799"/>
      <c r="Q111" s="800"/>
      <c r="R111" s="810">
        <v>0</v>
      </c>
      <c r="S111" s="811"/>
      <c r="T111" s="811"/>
      <c r="U111" s="812"/>
      <c r="V111" s="810">
        <v>0</v>
      </c>
      <c r="W111" s="811"/>
      <c r="X111" s="811"/>
      <c r="Y111" s="811"/>
      <c r="Z111" s="812"/>
      <c r="AA111" s="813">
        <f t="shared" si="5"/>
        <v>0</v>
      </c>
      <c r="AB111" s="814"/>
      <c r="AC111" s="814"/>
      <c r="AD111" s="815"/>
      <c r="AE111" s="810">
        <v>0</v>
      </c>
      <c r="AF111" s="811"/>
      <c r="AG111" s="811"/>
      <c r="AH111" s="811"/>
      <c r="AI111" s="812"/>
      <c r="AJ111" s="810">
        <v>0</v>
      </c>
      <c r="AK111" s="811"/>
      <c r="AL111" s="811"/>
      <c r="AM111" s="812"/>
      <c r="AN111" s="813">
        <f t="shared" si="6"/>
        <v>0</v>
      </c>
      <c r="AO111" s="814"/>
      <c r="AP111" s="814"/>
      <c r="AQ111" s="815"/>
      <c r="AR111" s="110"/>
      <c r="AS111" s="44"/>
      <c r="AT111" s="112"/>
      <c r="AU111" s="112"/>
      <c r="AV111" s="112"/>
      <c r="AW111" s="112"/>
      <c r="AX111" s="112"/>
      <c r="AY111" s="112"/>
      <c r="AZ111" s="112"/>
      <c r="BA111" s="112"/>
      <c r="BB111" s="112"/>
      <c r="BC111" s="112"/>
      <c r="BD111" s="112"/>
    </row>
    <row r="112" spans="1:56" s="113" customFormat="1" ht="15" customHeight="1">
      <c r="A112" s="109"/>
      <c r="B112" s="856"/>
      <c r="C112" s="27"/>
      <c r="D112" s="798" t="s">
        <v>525</v>
      </c>
      <c r="E112" s="799"/>
      <c r="F112" s="799"/>
      <c r="G112" s="799"/>
      <c r="H112" s="799"/>
      <c r="I112" s="799"/>
      <c r="J112" s="799"/>
      <c r="K112" s="799"/>
      <c r="L112" s="799"/>
      <c r="M112" s="799"/>
      <c r="N112" s="799"/>
      <c r="O112" s="799"/>
      <c r="P112" s="799"/>
      <c r="Q112" s="800"/>
      <c r="R112" s="810">
        <v>0</v>
      </c>
      <c r="S112" s="811"/>
      <c r="T112" s="811"/>
      <c r="U112" s="812"/>
      <c r="V112" s="810">
        <v>0</v>
      </c>
      <c r="W112" s="811"/>
      <c r="X112" s="811"/>
      <c r="Y112" s="811"/>
      <c r="Z112" s="812"/>
      <c r="AA112" s="813">
        <f t="shared" si="5"/>
        <v>0</v>
      </c>
      <c r="AB112" s="814"/>
      <c r="AC112" s="814"/>
      <c r="AD112" s="815"/>
      <c r="AE112" s="810">
        <v>0</v>
      </c>
      <c r="AF112" s="811"/>
      <c r="AG112" s="811"/>
      <c r="AH112" s="811"/>
      <c r="AI112" s="812"/>
      <c r="AJ112" s="810">
        <v>0</v>
      </c>
      <c r="AK112" s="811"/>
      <c r="AL112" s="811"/>
      <c r="AM112" s="812"/>
      <c r="AN112" s="813">
        <f t="shared" si="6"/>
        <v>0</v>
      </c>
      <c r="AO112" s="814"/>
      <c r="AP112" s="814"/>
      <c r="AQ112" s="815"/>
      <c r="AR112" s="110"/>
      <c r="AS112" s="44"/>
      <c r="AT112" s="112"/>
      <c r="AU112" s="112"/>
      <c r="AV112" s="112"/>
      <c r="AW112" s="112"/>
      <c r="AX112" s="112"/>
      <c r="AY112" s="112"/>
      <c r="AZ112" s="112"/>
      <c r="BA112" s="112"/>
      <c r="BB112" s="112"/>
      <c r="BC112" s="112"/>
      <c r="BD112" s="112"/>
    </row>
    <row r="113" spans="1:56" s="113" customFormat="1" ht="15" customHeight="1">
      <c r="A113" s="109"/>
      <c r="B113" s="856"/>
      <c r="C113" s="27"/>
      <c r="D113" s="798" t="s">
        <v>526</v>
      </c>
      <c r="E113" s="799"/>
      <c r="F113" s="799"/>
      <c r="G113" s="799"/>
      <c r="H113" s="799"/>
      <c r="I113" s="799"/>
      <c r="J113" s="799"/>
      <c r="K113" s="799"/>
      <c r="L113" s="799"/>
      <c r="M113" s="799"/>
      <c r="N113" s="799"/>
      <c r="O113" s="799"/>
      <c r="P113" s="799"/>
      <c r="Q113" s="800"/>
      <c r="R113" s="810">
        <f>Demande!K93</f>
        <v>0</v>
      </c>
      <c r="S113" s="811"/>
      <c r="T113" s="811"/>
      <c r="U113" s="812"/>
      <c r="V113" s="810">
        <f>Demande!N93</f>
        <v>0</v>
      </c>
      <c r="W113" s="811"/>
      <c r="X113" s="811"/>
      <c r="Y113" s="811"/>
      <c r="Z113" s="812"/>
      <c r="AA113" s="813">
        <f t="shared" si="5"/>
        <v>0</v>
      </c>
      <c r="AB113" s="814"/>
      <c r="AC113" s="814"/>
      <c r="AD113" s="815"/>
      <c r="AE113" s="810">
        <v>0</v>
      </c>
      <c r="AF113" s="811"/>
      <c r="AG113" s="811"/>
      <c r="AH113" s="811"/>
      <c r="AI113" s="812"/>
      <c r="AJ113" s="810">
        <v>0</v>
      </c>
      <c r="AK113" s="811"/>
      <c r="AL113" s="811"/>
      <c r="AM113" s="812"/>
      <c r="AN113" s="813">
        <f t="shared" si="6"/>
        <v>0</v>
      </c>
      <c r="AO113" s="814"/>
      <c r="AP113" s="814"/>
      <c r="AQ113" s="815"/>
      <c r="AR113" s="110"/>
      <c r="AS113" s="44"/>
      <c r="AT113" s="112"/>
      <c r="AU113" s="112"/>
      <c r="AV113" s="112"/>
      <c r="AW113" s="112"/>
      <c r="AX113" s="112"/>
      <c r="AY113" s="112"/>
      <c r="AZ113" s="112"/>
      <c r="BA113" s="112"/>
      <c r="BB113" s="112"/>
      <c r="BC113" s="112"/>
      <c r="BD113" s="112"/>
    </row>
    <row r="114" spans="1:56" s="113" customFormat="1" ht="15" customHeight="1">
      <c r="A114" s="109"/>
      <c r="B114" s="856"/>
      <c r="C114" s="27"/>
      <c r="D114" s="798" t="s">
        <v>527</v>
      </c>
      <c r="E114" s="799"/>
      <c r="F114" s="799"/>
      <c r="G114" s="799"/>
      <c r="H114" s="799"/>
      <c r="I114" s="799"/>
      <c r="J114" s="799"/>
      <c r="K114" s="799"/>
      <c r="L114" s="799"/>
      <c r="M114" s="799"/>
      <c r="N114" s="799"/>
      <c r="O114" s="799"/>
      <c r="P114" s="799"/>
      <c r="Q114" s="800"/>
      <c r="R114" s="810">
        <f>Demande!K91+Demande!K92</f>
        <v>0</v>
      </c>
      <c r="S114" s="811"/>
      <c r="T114" s="811"/>
      <c r="U114" s="812"/>
      <c r="V114" s="810">
        <f>Demande!N91+Demande!N92</f>
        <v>0</v>
      </c>
      <c r="W114" s="811"/>
      <c r="X114" s="811"/>
      <c r="Y114" s="811"/>
      <c r="Z114" s="812"/>
      <c r="AA114" s="813">
        <f t="shared" si="5"/>
        <v>0</v>
      </c>
      <c r="AB114" s="814"/>
      <c r="AC114" s="814"/>
      <c r="AD114" s="815"/>
      <c r="AE114" s="810">
        <v>0</v>
      </c>
      <c r="AF114" s="811"/>
      <c r="AG114" s="811"/>
      <c r="AH114" s="811"/>
      <c r="AI114" s="812"/>
      <c r="AJ114" s="810">
        <v>0</v>
      </c>
      <c r="AK114" s="811"/>
      <c r="AL114" s="811"/>
      <c r="AM114" s="812"/>
      <c r="AN114" s="813">
        <f t="shared" si="6"/>
        <v>0</v>
      </c>
      <c r="AO114" s="814"/>
      <c r="AP114" s="814"/>
      <c r="AQ114" s="815"/>
      <c r="AR114" s="110"/>
      <c r="AS114" s="44"/>
      <c r="AT114" s="112"/>
      <c r="AU114" s="112"/>
      <c r="AV114" s="112"/>
      <c r="AW114" s="112"/>
      <c r="AX114" s="112"/>
      <c r="AY114" s="112"/>
      <c r="AZ114" s="112"/>
      <c r="BA114" s="112"/>
      <c r="BB114" s="112"/>
      <c r="BC114" s="112"/>
      <c r="BD114" s="112"/>
    </row>
    <row r="115" spans="1:56" s="113" customFormat="1" ht="15" customHeight="1">
      <c r="A115" s="109"/>
      <c r="B115" s="856"/>
      <c r="C115" s="27"/>
      <c r="D115" s="798" t="s">
        <v>528</v>
      </c>
      <c r="E115" s="799"/>
      <c r="F115" s="799"/>
      <c r="G115" s="799"/>
      <c r="H115" s="799"/>
      <c r="I115" s="799"/>
      <c r="J115" s="799"/>
      <c r="K115" s="799"/>
      <c r="L115" s="799"/>
      <c r="M115" s="799"/>
      <c r="N115" s="799"/>
      <c r="O115" s="799"/>
      <c r="P115" s="799"/>
      <c r="Q115" s="800"/>
      <c r="R115" s="810">
        <f>Demande!K94</f>
        <v>0</v>
      </c>
      <c r="S115" s="811"/>
      <c r="T115" s="811"/>
      <c r="U115" s="812"/>
      <c r="V115" s="810">
        <f>Demande!N94</f>
        <v>0</v>
      </c>
      <c r="W115" s="811"/>
      <c r="X115" s="811"/>
      <c r="Y115" s="811"/>
      <c r="Z115" s="812"/>
      <c r="AA115" s="813">
        <f t="shared" si="5"/>
        <v>0</v>
      </c>
      <c r="AB115" s="814"/>
      <c r="AC115" s="814"/>
      <c r="AD115" s="815"/>
      <c r="AE115" s="810">
        <v>0</v>
      </c>
      <c r="AF115" s="811"/>
      <c r="AG115" s="811"/>
      <c r="AH115" s="811"/>
      <c r="AI115" s="812"/>
      <c r="AJ115" s="810">
        <v>0</v>
      </c>
      <c r="AK115" s="811"/>
      <c r="AL115" s="811"/>
      <c r="AM115" s="812"/>
      <c r="AN115" s="813">
        <f t="shared" si="6"/>
        <v>0</v>
      </c>
      <c r="AO115" s="814"/>
      <c r="AP115" s="814"/>
      <c r="AQ115" s="815"/>
      <c r="AR115" s="110"/>
      <c r="AS115" s="44"/>
      <c r="AT115" s="112"/>
      <c r="AU115" s="112"/>
      <c r="AV115" s="112"/>
      <c r="AW115" s="112"/>
      <c r="AX115" s="112"/>
      <c r="AY115" s="112"/>
      <c r="AZ115" s="112"/>
      <c r="BA115" s="112"/>
      <c r="BB115" s="112"/>
      <c r="BC115" s="112"/>
      <c r="BD115" s="112"/>
    </row>
    <row r="116" spans="1:56" s="113" customFormat="1" ht="15">
      <c r="A116" s="109"/>
      <c r="B116" s="872"/>
      <c r="C116" s="46"/>
      <c r="D116" s="798" t="s">
        <v>27</v>
      </c>
      <c r="E116" s="799"/>
      <c r="F116" s="799"/>
      <c r="G116" s="799"/>
      <c r="H116" s="799"/>
      <c r="I116" s="799"/>
      <c r="J116" s="799"/>
      <c r="K116" s="799"/>
      <c r="L116" s="799"/>
      <c r="M116" s="799"/>
      <c r="N116" s="799"/>
      <c r="O116" s="799"/>
      <c r="P116" s="799"/>
      <c r="Q116" s="800"/>
      <c r="R116" s="813">
        <f>SUM(R110:U115)</f>
        <v>0</v>
      </c>
      <c r="S116" s="814"/>
      <c r="T116" s="814"/>
      <c r="U116" s="815"/>
      <c r="V116" s="883">
        <f>SUM(V110:Z115)</f>
        <v>0</v>
      </c>
      <c r="W116" s="884"/>
      <c r="X116" s="884"/>
      <c r="Y116" s="884"/>
      <c r="Z116" s="885"/>
      <c r="AA116" s="886">
        <f>SUM(AA110:AD115)</f>
        <v>0</v>
      </c>
      <c r="AB116" s="886"/>
      <c r="AC116" s="886"/>
      <c r="AD116" s="887"/>
      <c r="AE116" s="813">
        <f>SUM(AE110:AI115)</f>
        <v>0</v>
      </c>
      <c r="AF116" s="814"/>
      <c r="AG116" s="814"/>
      <c r="AH116" s="814"/>
      <c r="AI116" s="815"/>
      <c r="AJ116" s="813">
        <f>SUM(AJ110:AM115)</f>
        <v>0</v>
      </c>
      <c r="AK116" s="814"/>
      <c r="AL116" s="814"/>
      <c r="AM116" s="815"/>
      <c r="AN116" s="886">
        <v>0</v>
      </c>
      <c r="AO116" s="886"/>
      <c r="AP116" s="886"/>
      <c r="AQ116" s="887"/>
      <c r="AR116" s="93"/>
      <c r="AS116" s="44"/>
      <c r="AT116" s="112"/>
      <c r="AU116" s="112"/>
      <c r="AV116" s="112"/>
      <c r="AW116" s="112"/>
      <c r="AX116" s="112"/>
      <c r="AY116" s="112"/>
      <c r="AZ116" s="112"/>
      <c r="BA116" s="112"/>
      <c r="BB116" s="112"/>
      <c r="BC116" s="112"/>
      <c r="BD116" s="112"/>
    </row>
    <row r="117" spans="1:56" s="113" customFormat="1" ht="3" customHeight="1" thickBot="1">
      <c r="A117" s="109"/>
      <c r="B117" s="857"/>
      <c r="C117" s="20"/>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3"/>
      <c r="AF117" s="843"/>
      <c r="AG117" s="843"/>
      <c r="AH117" s="843"/>
      <c r="AI117" s="843"/>
      <c r="AJ117" s="843"/>
      <c r="AK117" s="843"/>
      <c r="AL117" s="843"/>
      <c r="AM117" s="843"/>
      <c r="AN117" s="843"/>
      <c r="AO117" s="843"/>
      <c r="AP117" s="843"/>
      <c r="AQ117" s="843"/>
      <c r="AR117" s="843"/>
      <c r="AS117" s="33"/>
      <c r="AT117" s="112"/>
      <c r="AU117" s="112"/>
      <c r="AV117" s="112"/>
      <c r="AW117" s="112"/>
      <c r="AX117" s="112"/>
      <c r="AY117" s="112"/>
      <c r="AZ117" s="112"/>
      <c r="BA117" s="112"/>
      <c r="BB117" s="112"/>
      <c r="BC117" s="112"/>
      <c r="BD117" s="112"/>
    </row>
    <row r="118" spans="1:45" ht="3" customHeight="1">
      <c r="A118" s="1"/>
      <c r="B118" s="801" t="s">
        <v>123</v>
      </c>
      <c r="C118" s="18"/>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34"/>
      <c r="AA118" s="834"/>
      <c r="AB118" s="834"/>
      <c r="AC118" s="834"/>
      <c r="AD118" s="834"/>
      <c r="AE118" s="834"/>
      <c r="AF118" s="834"/>
      <c r="AG118" s="834"/>
      <c r="AH118" s="834"/>
      <c r="AI118" s="834"/>
      <c r="AJ118" s="834"/>
      <c r="AK118" s="834"/>
      <c r="AL118" s="834"/>
      <c r="AM118" s="834"/>
      <c r="AN118" s="834"/>
      <c r="AO118" s="834"/>
      <c r="AP118" s="834"/>
      <c r="AQ118" s="834"/>
      <c r="AR118" s="834"/>
      <c r="AS118" s="44"/>
    </row>
    <row r="119" spans="1:45" ht="15">
      <c r="A119" s="1"/>
      <c r="B119" s="802"/>
      <c r="C119" s="18"/>
      <c r="D119" s="835" t="s">
        <v>149</v>
      </c>
      <c r="E119" s="836"/>
      <c r="F119" s="836"/>
      <c r="G119" s="836"/>
      <c r="H119" s="836"/>
      <c r="I119" s="836"/>
      <c r="J119" s="836"/>
      <c r="K119" s="836"/>
      <c r="L119" s="836"/>
      <c r="M119" s="836"/>
      <c r="N119" s="836"/>
      <c r="O119" s="836"/>
      <c r="P119" s="836"/>
      <c r="Q119" s="836"/>
      <c r="R119" s="836"/>
      <c r="S119" s="836"/>
      <c r="T119" s="836"/>
      <c r="U119" s="837"/>
      <c r="V119" s="838"/>
      <c r="W119" s="839"/>
      <c r="X119" s="839"/>
      <c r="Y119" s="839"/>
      <c r="Z119" s="839"/>
      <c r="AA119" s="839"/>
      <c r="AB119" s="839"/>
      <c r="AC119" s="839"/>
      <c r="AD119" s="839"/>
      <c r="AE119" s="839"/>
      <c r="AF119" s="839"/>
      <c r="AG119" s="839"/>
      <c r="AH119" s="839"/>
      <c r="AI119" s="839"/>
      <c r="AJ119" s="839"/>
      <c r="AK119" s="839"/>
      <c r="AL119" s="839"/>
      <c r="AM119" s="839"/>
      <c r="AN119" s="839"/>
      <c r="AO119" s="56"/>
      <c r="AP119" s="56"/>
      <c r="AQ119" s="56"/>
      <c r="AR119" s="56"/>
      <c r="AS119" s="44"/>
    </row>
    <row r="120" spans="1:45" ht="15" customHeight="1">
      <c r="A120" s="1"/>
      <c r="B120" s="802"/>
      <c r="C120" s="6" t="s">
        <v>21</v>
      </c>
      <c r="D120" s="824" t="s">
        <v>28</v>
      </c>
      <c r="E120" s="825"/>
      <c r="F120" s="825"/>
      <c r="G120" s="826"/>
      <c r="H120" s="824" t="s">
        <v>29</v>
      </c>
      <c r="I120" s="825"/>
      <c r="J120" s="825"/>
      <c r="K120" s="825"/>
      <c r="L120" s="825"/>
      <c r="M120" s="825"/>
      <c r="N120" s="825"/>
      <c r="O120" s="825"/>
      <c r="P120" s="825"/>
      <c r="Q120" s="825"/>
      <c r="R120" s="825"/>
      <c r="S120" s="825"/>
      <c r="T120" s="825"/>
      <c r="U120" s="826"/>
      <c r="V120" s="816" t="s">
        <v>30</v>
      </c>
      <c r="W120" s="817"/>
      <c r="X120" s="817"/>
      <c r="Y120" s="817"/>
      <c r="Z120" s="817"/>
      <c r="AA120" s="817"/>
      <c r="AB120" s="817"/>
      <c r="AC120" s="817"/>
      <c r="AD120" s="818"/>
      <c r="AE120" s="816" t="s">
        <v>31</v>
      </c>
      <c r="AF120" s="817"/>
      <c r="AG120" s="817"/>
      <c r="AH120" s="817"/>
      <c r="AI120" s="817"/>
      <c r="AJ120" s="817"/>
      <c r="AK120" s="817"/>
      <c r="AL120" s="817"/>
      <c r="AM120" s="817"/>
      <c r="AN120" s="818"/>
      <c r="AO120" s="816" t="s">
        <v>32</v>
      </c>
      <c r="AP120" s="817"/>
      <c r="AQ120" s="817"/>
      <c r="AR120" s="818"/>
      <c r="AS120" s="44"/>
    </row>
    <row r="121" spans="1:47" ht="15" customHeight="1">
      <c r="A121" s="1"/>
      <c r="B121" s="802"/>
      <c r="C121" s="27">
        <f ca="1">IF(D121&lt;&gt;"Choisir…",INDEX(OFFSET(Fin_autre,,-1,,),MATCH(D121,Fin_autre,0)),"")</f>
        <v>1</v>
      </c>
      <c r="D121" s="798" t="s">
        <v>596</v>
      </c>
      <c r="E121" s="799"/>
      <c r="F121" s="799"/>
      <c r="G121" s="800"/>
      <c r="H121" s="798" t="s">
        <v>597</v>
      </c>
      <c r="I121" s="799"/>
      <c r="J121" s="799"/>
      <c r="K121" s="799"/>
      <c r="L121" s="799"/>
      <c r="M121" s="799"/>
      <c r="N121" s="799"/>
      <c r="O121" s="799"/>
      <c r="P121" s="799"/>
      <c r="Q121" s="799"/>
      <c r="R121" s="799"/>
      <c r="S121" s="799"/>
      <c r="T121" s="799"/>
      <c r="U121" s="800"/>
      <c r="V121" s="827" t="s">
        <v>33</v>
      </c>
      <c r="W121" s="828"/>
      <c r="X121" s="828"/>
      <c r="Y121" s="828"/>
      <c r="Z121" s="828"/>
      <c r="AA121" s="828"/>
      <c r="AB121" s="828"/>
      <c r="AC121" s="828"/>
      <c r="AD121" s="829"/>
      <c r="AE121" s="819">
        <f>IF(Demande!N100=0,0,Demande!N100)</f>
        <v>0</v>
      </c>
      <c r="AF121" s="820"/>
      <c r="AG121" s="820"/>
      <c r="AH121" s="820"/>
      <c r="AI121" s="820"/>
      <c r="AJ121" s="820"/>
      <c r="AK121" s="820"/>
      <c r="AL121" s="820"/>
      <c r="AM121" s="820"/>
      <c r="AN121" s="821"/>
      <c r="AO121" s="822">
        <f>IF(AE121=0,0,AE121/AE$125)</f>
        <v>0</v>
      </c>
      <c r="AP121" s="822"/>
      <c r="AQ121" s="822"/>
      <c r="AR121" s="823"/>
      <c r="AS121" s="45"/>
      <c r="AT121" s="102"/>
      <c r="AU121" s="503"/>
    </row>
    <row r="122" spans="1:45" ht="15" customHeight="1">
      <c r="A122" s="1"/>
      <c r="B122" s="802"/>
      <c r="C122" s="27">
        <f aca="true" ca="1" t="array" ref="C122">IF(D122&lt;&gt;"Choisir…",INDEX(OFFSET(Fin_autre,,-1,,),MATCH(D122,Fin_autre,0)),"")</f>
        <v>16</v>
      </c>
      <c r="D122" s="798" t="s">
        <v>581</v>
      </c>
      <c r="E122" s="799"/>
      <c r="F122" s="799"/>
      <c r="G122" s="800"/>
      <c r="H122" s="844">
        <f>IF(H8="","",H8)</f>
      </c>
      <c r="I122" s="845"/>
      <c r="J122" s="845"/>
      <c r="K122" s="845"/>
      <c r="L122" s="845"/>
      <c r="M122" s="845"/>
      <c r="N122" s="845"/>
      <c r="O122" s="845"/>
      <c r="P122" s="845"/>
      <c r="Q122" s="845"/>
      <c r="R122" s="845"/>
      <c r="S122" s="845"/>
      <c r="T122" s="845"/>
      <c r="U122" s="846"/>
      <c r="V122" s="738" t="str">
        <f>Demande!J101</f>
        <v>Équité</v>
      </c>
      <c r="W122" s="785"/>
      <c r="X122" s="785"/>
      <c r="Y122" s="785"/>
      <c r="Z122" s="785"/>
      <c r="AA122" s="785"/>
      <c r="AB122" s="785"/>
      <c r="AC122" s="785"/>
      <c r="AD122" s="739"/>
      <c r="AE122" s="819">
        <f>IF(Demande!N101=0,0,Demande!N101)</f>
        <v>0</v>
      </c>
      <c r="AF122" s="820"/>
      <c r="AG122" s="820"/>
      <c r="AH122" s="820"/>
      <c r="AI122" s="820"/>
      <c r="AJ122" s="820"/>
      <c r="AK122" s="820"/>
      <c r="AL122" s="820"/>
      <c r="AM122" s="820"/>
      <c r="AN122" s="821"/>
      <c r="AO122" s="822">
        <f>IF(AE122=0,0,AE122/AE$125)</f>
        <v>0</v>
      </c>
      <c r="AP122" s="822"/>
      <c r="AQ122" s="822"/>
      <c r="AR122" s="823"/>
      <c r="AS122" s="44"/>
    </row>
    <row r="123" spans="1:45" ht="15" customHeight="1">
      <c r="A123" s="1"/>
      <c r="B123" s="802"/>
      <c r="C123" s="27">
        <f aca="true" ca="1" t="array" ref="C123">IF(D123&lt;&gt;"Choisir…",INDEX(OFFSET(Fin_autre,,-1,,),MATCH(D123,Fin_autre,0)),"")</f>
      </c>
      <c r="D123" s="807" t="str">
        <f>Demande!B102</f>
        <v>Choisir…</v>
      </c>
      <c r="E123" s="808"/>
      <c r="F123" s="808"/>
      <c r="G123" s="809"/>
      <c r="H123" s="807">
        <f>IF(Demande!D102=0,"",Demande!D102)</f>
      </c>
      <c r="I123" s="808"/>
      <c r="J123" s="808"/>
      <c r="K123" s="808"/>
      <c r="L123" s="808"/>
      <c r="M123" s="808"/>
      <c r="N123" s="808"/>
      <c r="O123" s="808"/>
      <c r="P123" s="808"/>
      <c r="Q123" s="808"/>
      <c r="R123" s="808"/>
      <c r="S123" s="808"/>
      <c r="T123" s="808"/>
      <c r="U123" s="809"/>
      <c r="V123" s="738" t="str">
        <f>IF(Demande!J102=0,"",Demande!J102)</f>
        <v>Choisir…</v>
      </c>
      <c r="W123" s="785"/>
      <c r="X123" s="785"/>
      <c r="Y123" s="785"/>
      <c r="Z123" s="785"/>
      <c r="AA123" s="785"/>
      <c r="AB123" s="785"/>
      <c r="AC123" s="785"/>
      <c r="AD123" s="739"/>
      <c r="AE123" s="819">
        <f>IF(Demande!N102=0,0,Demande!N102)</f>
        <v>0</v>
      </c>
      <c r="AF123" s="820"/>
      <c r="AG123" s="820"/>
      <c r="AH123" s="820"/>
      <c r="AI123" s="820"/>
      <c r="AJ123" s="820"/>
      <c r="AK123" s="820"/>
      <c r="AL123" s="820"/>
      <c r="AM123" s="820"/>
      <c r="AN123" s="821"/>
      <c r="AO123" s="822">
        <f>IF(AE123=0,0,AE123/AE$125)</f>
        <v>0</v>
      </c>
      <c r="AP123" s="822"/>
      <c r="AQ123" s="822"/>
      <c r="AR123" s="823"/>
      <c r="AS123" s="44"/>
    </row>
    <row r="124" spans="1:45" ht="15" customHeight="1">
      <c r="A124" s="1"/>
      <c r="B124" s="802"/>
      <c r="C124" s="27">
        <f aca="true" ca="1" t="array" ref="C124">IF(D124&lt;&gt;"Choisir…",INDEX(OFFSET(Fin_autre,,-1,,),MATCH(D124,Fin_autre,0)),"")</f>
      </c>
      <c r="D124" s="807" t="str">
        <f>Demande!B103</f>
        <v>Choisir…</v>
      </c>
      <c r="E124" s="808"/>
      <c r="F124" s="808"/>
      <c r="G124" s="809"/>
      <c r="H124" s="807">
        <f>IF(Demande!D103=0,"",Demande!D103)</f>
      </c>
      <c r="I124" s="808"/>
      <c r="J124" s="808"/>
      <c r="K124" s="808"/>
      <c r="L124" s="808"/>
      <c r="M124" s="808"/>
      <c r="N124" s="808"/>
      <c r="O124" s="808"/>
      <c r="P124" s="808"/>
      <c r="Q124" s="808"/>
      <c r="R124" s="808"/>
      <c r="S124" s="808"/>
      <c r="T124" s="808"/>
      <c r="U124" s="809"/>
      <c r="V124" s="738" t="str">
        <f>IF(Demande!J103=0,"",Demande!J103)</f>
        <v>Choisir…</v>
      </c>
      <c r="W124" s="785"/>
      <c r="X124" s="785"/>
      <c r="Y124" s="785"/>
      <c r="Z124" s="785"/>
      <c r="AA124" s="785"/>
      <c r="AB124" s="785"/>
      <c r="AC124" s="785"/>
      <c r="AD124" s="739"/>
      <c r="AE124" s="819">
        <f>IF(Demande!N103=0,0,Demande!N103)</f>
        <v>0</v>
      </c>
      <c r="AF124" s="820"/>
      <c r="AG124" s="820"/>
      <c r="AH124" s="820"/>
      <c r="AI124" s="820"/>
      <c r="AJ124" s="820"/>
      <c r="AK124" s="820"/>
      <c r="AL124" s="820"/>
      <c r="AM124" s="820"/>
      <c r="AN124" s="821"/>
      <c r="AO124" s="822">
        <f>IF(AE124=0,0,AE124/AE$125)</f>
        <v>0</v>
      </c>
      <c r="AP124" s="822"/>
      <c r="AQ124" s="822"/>
      <c r="AR124" s="823"/>
      <c r="AS124" s="44"/>
    </row>
    <row r="125" spans="1:45" ht="15" customHeight="1">
      <c r="A125" s="1"/>
      <c r="B125" s="832"/>
      <c r="C125" s="46"/>
      <c r="D125" s="47"/>
      <c r="E125" s="47"/>
      <c r="F125" s="47"/>
      <c r="G125" s="48"/>
      <c r="H125" s="66"/>
      <c r="I125" s="66"/>
      <c r="J125" s="66"/>
      <c r="K125" s="66"/>
      <c r="L125" s="66"/>
      <c r="M125" s="66"/>
      <c r="N125" s="80"/>
      <c r="O125" s="48"/>
      <c r="P125" s="48"/>
      <c r="Q125" s="48"/>
      <c r="R125" s="38"/>
      <c r="S125" s="66"/>
      <c r="T125" s="66"/>
      <c r="U125" s="66"/>
      <c r="V125" s="853" t="s">
        <v>34</v>
      </c>
      <c r="W125" s="854"/>
      <c r="X125" s="854"/>
      <c r="Y125" s="854"/>
      <c r="Z125" s="854"/>
      <c r="AA125" s="854"/>
      <c r="AB125" s="854"/>
      <c r="AC125" s="854"/>
      <c r="AD125" s="855"/>
      <c r="AE125" s="840">
        <f>SUM(AE121:AN124)</f>
        <v>0</v>
      </c>
      <c r="AF125" s="841"/>
      <c r="AG125" s="841"/>
      <c r="AH125" s="841"/>
      <c r="AI125" s="841"/>
      <c r="AJ125" s="841"/>
      <c r="AK125" s="841"/>
      <c r="AL125" s="841"/>
      <c r="AM125" s="841"/>
      <c r="AN125" s="842"/>
      <c r="AO125" s="822">
        <f>SUM(AO121:AR124)</f>
        <v>0</v>
      </c>
      <c r="AP125" s="822"/>
      <c r="AQ125" s="822"/>
      <c r="AR125" s="823"/>
      <c r="AS125" s="44"/>
    </row>
    <row r="126" spans="1:45" ht="3" customHeight="1" thickBot="1">
      <c r="A126" s="1"/>
      <c r="B126" s="833"/>
      <c r="C126" s="20"/>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3"/>
      <c r="AA126" s="843"/>
      <c r="AB126" s="843"/>
      <c r="AC126" s="843"/>
      <c r="AD126" s="843"/>
      <c r="AE126" s="843"/>
      <c r="AF126" s="843"/>
      <c r="AG126" s="843"/>
      <c r="AH126" s="843"/>
      <c r="AI126" s="843"/>
      <c r="AJ126" s="843"/>
      <c r="AK126" s="843"/>
      <c r="AL126" s="843"/>
      <c r="AM126" s="843"/>
      <c r="AN126" s="843"/>
      <c r="AO126" s="843"/>
      <c r="AP126" s="843"/>
      <c r="AQ126" s="843"/>
      <c r="AR126" s="843"/>
      <c r="AS126" s="33"/>
    </row>
    <row r="127" spans="1:45" ht="3" customHeight="1">
      <c r="A127" s="1"/>
      <c r="B127" s="801" t="s">
        <v>124</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2"/>
    </row>
    <row r="128" spans="1:45" ht="15" customHeight="1">
      <c r="A128" s="1"/>
      <c r="B128" s="802"/>
      <c r="C128" s="71"/>
      <c r="D128" s="7" t="s">
        <v>150</v>
      </c>
      <c r="E128" s="8"/>
      <c r="F128" s="8"/>
      <c r="G128" s="8"/>
      <c r="H128" s="8"/>
      <c r="I128" s="850"/>
      <c r="J128" s="851"/>
      <c r="K128" s="851"/>
      <c r="L128" s="851"/>
      <c r="M128" s="851"/>
      <c r="N128" s="851"/>
      <c r="O128" s="851"/>
      <c r="P128" s="851"/>
      <c r="Q128" s="851"/>
      <c r="R128" s="851"/>
      <c r="S128" s="851"/>
      <c r="T128" s="851"/>
      <c r="U128" s="851"/>
      <c r="V128" s="851"/>
      <c r="W128" s="851"/>
      <c r="X128" s="851"/>
      <c r="Y128" s="851"/>
      <c r="Z128" s="851"/>
      <c r="AA128" s="851"/>
      <c r="AB128" s="851"/>
      <c r="AC128" s="852"/>
      <c r="AE128" s="8"/>
      <c r="AF128" s="8"/>
      <c r="AG128" s="8"/>
      <c r="AH128" s="8"/>
      <c r="AI128" s="49" t="s">
        <v>35</v>
      </c>
      <c r="AJ128" s="830">
        <f>IF(Demande!O111=0,"",Demande!O111)</f>
      </c>
      <c r="AK128" s="831"/>
      <c r="AL128" s="747"/>
      <c r="AM128" s="747"/>
      <c r="AN128" s="747"/>
      <c r="AO128" s="747"/>
      <c r="AP128" s="747"/>
      <c r="AQ128" s="747"/>
      <c r="AR128" s="748"/>
      <c r="AS128" s="83"/>
    </row>
    <row r="129" spans="1:45" ht="15" customHeight="1">
      <c r="A129" s="1"/>
      <c r="B129" s="802"/>
      <c r="C129" s="69"/>
      <c r="D129" s="84" t="s">
        <v>190</v>
      </c>
      <c r="E129" s="21"/>
      <c r="F129" s="21"/>
      <c r="G129" s="21"/>
      <c r="H129" s="21"/>
      <c r="I129" s="21"/>
      <c r="J129" s="21"/>
      <c r="K129" s="21"/>
      <c r="L129" s="13"/>
      <c r="M129" s="13"/>
      <c r="N129" s="13"/>
      <c r="O129" s="13"/>
      <c r="P129" s="13"/>
      <c r="Q129" s="13"/>
      <c r="R129" s="10"/>
      <c r="S129" s="10"/>
      <c r="T129" s="10"/>
      <c r="U129" s="10"/>
      <c r="V129" s="10"/>
      <c r="W129" s="10"/>
      <c r="X129" s="10"/>
      <c r="Y129" s="10"/>
      <c r="Z129" s="10"/>
      <c r="AA129" s="10"/>
      <c r="AB129" s="10"/>
      <c r="AC129" s="10"/>
      <c r="AD129" s="15"/>
      <c r="AE129" s="8"/>
      <c r="AF129" s="8"/>
      <c r="AG129" s="8"/>
      <c r="AH129" s="8"/>
      <c r="AI129" s="50"/>
      <c r="AJ129" s="50"/>
      <c r="AK129" s="50"/>
      <c r="AL129" s="50"/>
      <c r="AM129" s="50"/>
      <c r="AN129" s="50"/>
      <c r="AO129" s="50"/>
      <c r="AP129" s="50"/>
      <c r="AQ129" s="8"/>
      <c r="AR129" s="69"/>
      <c r="AS129" s="85"/>
    </row>
    <row r="130" spans="1:45" ht="15" customHeight="1">
      <c r="A130" s="1"/>
      <c r="B130" s="802"/>
      <c r="C130" s="69"/>
      <c r="D130" s="61" t="s">
        <v>122</v>
      </c>
      <c r="E130" s="21"/>
      <c r="F130" s="21"/>
      <c r="G130" s="21"/>
      <c r="H130" s="21"/>
      <c r="I130" s="21"/>
      <c r="J130" s="21"/>
      <c r="K130" s="21"/>
      <c r="L130" s="13"/>
      <c r="M130" s="13"/>
      <c r="N130" s="13"/>
      <c r="O130" s="13"/>
      <c r="P130" s="13"/>
      <c r="Q130" s="13"/>
      <c r="R130" s="10"/>
      <c r="S130" s="10"/>
      <c r="T130" s="10"/>
      <c r="U130" s="10"/>
      <c r="V130" s="10"/>
      <c r="W130" s="10"/>
      <c r="X130" s="10"/>
      <c r="Y130" s="10"/>
      <c r="Z130" s="10"/>
      <c r="AA130" s="10"/>
      <c r="AB130" s="10"/>
      <c r="AC130" s="10"/>
      <c r="AD130" s="15"/>
      <c r="AE130" s="8"/>
      <c r="AF130" s="8"/>
      <c r="AG130" s="8"/>
      <c r="AH130" s="8"/>
      <c r="AI130" s="50"/>
      <c r="AJ130" s="50"/>
      <c r="AK130" s="50"/>
      <c r="AL130" s="50"/>
      <c r="AM130" s="50"/>
      <c r="AN130" s="50"/>
      <c r="AO130" s="50"/>
      <c r="AP130" s="50"/>
      <c r="AQ130" s="8"/>
      <c r="AR130" s="69"/>
      <c r="AS130" s="85"/>
    </row>
    <row r="131" spans="1:56" s="113" customFormat="1" ht="15" customHeight="1">
      <c r="A131" s="109"/>
      <c r="B131" s="802"/>
      <c r="C131" s="69"/>
      <c r="D131" s="84" t="s">
        <v>191</v>
      </c>
      <c r="E131" s="21"/>
      <c r="F131" s="21"/>
      <c r="G131" s="21"/>
      <c r="H131" s="21"/>
      <c r="I131" s="21"/>
      <c r="J131" s="21"/>
      <c r="K131" s="21"/>
      <c r="L131" s="13"/>
      <c r="M131" s="13"/>
      <c r="N131" s="13"/>
      <c r="O131" s="13"/>
      <c r="P131" s="13"/>
      <c r="Q131" s="13"/>
      <c r="R131" s="10"/>
      <c r="S131" s="10"/>
      <c r="T131" s="10"/>
      <c r="U131" s="10"/>
      <c r="V131" s="10"/>
      <c r="W131" s="10"/>
      <c r="X131" s="10"/>
      <c r="Y131" s="10"/>
      <c r="Z131" s="10"/>
      <c r="AA131" s="10"/>
      <c r="AB131" s="10"/>
      <c r="AC131" s="10"/>
      <c r="AD131" s="15"/>
      <c r="AE131" s="8"/>
      <c r="AF131" s="8"/>
      <c r="AG131" s="8"/>
      <c r="AH131" s="8"/>
      <c r="AI131" s="50"/>
      <c r="AJ131" s="50"/>
      <c r="AK131" s="50"/>
      <c r="AL131" s="50"/>
      <c r="AM131" s="50"/>
      <c r="AN131" s="50"/>
      <c r="AO131" s="50"/>
      <c r="AP131" s="50"/>
      <c r="AQ131" s="8"/>
      <c r="AR131" s="69"/>
      <c r="AS131" s="85"/>
      <c r="AT131" s="112"/>
      <c r="AU131" s="112"/>
      <c r="AV131" s="112"/>
      <c r="AW131" s="112"/>
      <c r="AX131" s="112"/>
      <c r="AY131" s="112"/>
      <c r="AZ131" s="112"/>
      <c r="BA131" s="112"/>
      <c r="BB131" s="112"/>
      <c r="BC131" s="112"/>
      <c r="BD131" s="112"/>
    </row>
    <row r="132" spans="1:56" s="113" customFormat="1" ht="15" customHeight="1">
      <c r="A132" s="109"/>
      <c r="B132" s="802"/>
      <c r="C132" s="69"/>
      <c r="D132" s="84" t="s">
        <v>189</v>
      </c>
      <c r="E132" s="21"/>
      <c r="F132" s="21"/>
      <c r="G132" s="21"/>
      <c r="H132" s="21"/>
      <c r="I132" s="21"/>
      <c r="J132" s="21"/>
      <c r="K132" s="21"/>
      <c r="L132" s="13"/>
      <c r="M132" s="13"/>
      <c r="N132" s="13"/>
      <c r="O132" s="13"/>
      <c r="P132" s="13"/>
      <c r="Q132" s="13"/>
      <c r="R132" s="10"/>
      <c r="S132" s="10"/>
      <c r="T132" s="10"/>
      <c r="U132" s="10"/>
      <c r="V132" s="10"/>
      <c r="W132" s="10"/>
      <c r="X132" s="10"/>
      <c r="Y132" s="10"/>
      <c r="Z132" s="10"/>
      <c r="AA132" s="10"/>
      <c r="AB132" s="10"/>
      <c r="AC132" s="10"/>
      <c r="AD132" s="15"/>
      <c r="AE132" s="8"/>
      <c r="AF132" s="8"/>
      <c r="AG132" s="8"/>
      <c r="AH132" s="8"/>
      <c r="AI132" s="50"/>
      <c r="AJ132" s="50"/>
      <c r="AK132" s="50"/>
      <c r="AL132" s="50"/>
      <c r="AM132" s="50"/>
      <c r="AN132" s="50"/>
      <c r="AO132" s="50"/>
      <c r="AP132" s="50"/>
      <c r="AQ132" s="8"/>
      <c r="AR132" s="69"/>
      <c r="AS132" s="85"/>
      <c r="AT132" s="112"/>
      <c r="AU132" s="112"/>
      <c r="AV132" s="112"/>
      <c r="AW132" s="112"/>
      <c r="AX132" s="112"/>
      <c r="AY132" s="112"/>
      <c r="AZ132" s="112"/>
      <c r="BA132" s="112"/>
      <c r="BB132" s="112"/>
      <c r="BC132" s="112"/>
      <c r="BD132" s="112"/>
    </row>
    <row r="133" spans="1:45" ht="15" customHeight="1">
      <c r="A133" s="66"/>
      <c r="B133" s="802"/>
      <c r="C133" s="71"/>
      <c r="D133" s="86" t="s">
        <v>192</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71"/>
      <c r="AR133" s="69"/>
      <c r="AS133" s="85"/>
    </row>
    <row r="134" spans="1:45" ht="3" customHeight="1" thickBot="1">
      <c r="A134" s="66"/>
      <c r="B134" s="803"/>
      <c r="C134" s="87"/>
      <c r="D134" s="51"/>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78"/>
      <c r="AS134" s="79"/>
    </row>
    <row r="135" spans="1:45" ht="15" customHeight="1">
      <c r="A135" s="66"/>
      <c r="B135" s="88"/>
      <c r="C135" s="66"/>
      <c r="D135" s="66"/>
      <c r="E135" s="89"/>
      <c r="F135" s="90"/>
      <c r="G135" s="90"/>
      <c r="H135" s="90"/>
      <c r="I135" s="90"/>
      <c r="J135" s="91"/>
      <c r="K135" s="90"/>
      <c r="L135" s="90"/>
      <c r="M135" s="90"/>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row>
    <row r="136" spans="1:45" ht="15" customHeight="1">
      <c r="A136" s="63"/>
      <c r="B136" s="119"/>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row>
    <row r="137" spans="1:45" ht="15" customHeight="1">
      <c r="A137" s="63"/>
      <c r="B137" s="119"/>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row>
    <row r="138" spans="1:45" ht="15" customHeight="1">
      <c r="A138" s="63"/>
      <c r="B138" s="119"/>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row>
    <row r="139" spans="1:45" ht="15" customHeight="1">
      <c r="A139" s="63"/>
      <c r="B139" s="119"/>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row>
    <row r="140" spans="1:45" ht="15" customHeight="1">
      <c r="A140" s="63"/>
      <c r="B140" s="119"/>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row>
    <row r="141" spans="1:45" ht="15" customHeight="1">
      <c r="A141" s="63"/>
      <c r="B141" s="119"/>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row>
    <row r="142" spans="1:45" ht="15" customHeight="1">
      <c r="A142" s="63"/>
      <c r="B142" s="119"/>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row>
    <row r="143" spans="1:45" ht="15" customHeight="1">
      <c r="A143" s="63"/>
      <c r="B143" s="119"/>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row>
    <row r="144" spans="1:45" ht="15" customHeight="1">
      <c r="A144" s="63"/>
      <c r="B144" s="119"/>
      <c r="C144" s="63"/>
      <c r="D144" s="116"/>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row>
    <row r="145" spans="1:45" ht="15" customHeight="1">
      <c r="A145" s="63"/>
      <c r="B145" s="119"/>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row>
    <row r="146" spans="1:45" ht="15" customHeight="1">
      <c r="A146" s="63"/>
      <c r="B146" s="119"/>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row>
    <row r="147" spans="1:45" ht="15" customHeight="1">
      <c r="A147" s="63"/>
      <c r="B147" s="119"/>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S147" s="63"/>
    </row>
  </sheetData>
  <sheetProtection password="E71A" sheet="1" selectLockedCells="1"/>
  <protectedRanges>
    <protectedRange sqref="H8 H48 H24 H37 H58" name="Plage1"/>
  </protectedRanges>
  <mergeCells count="281">
    <mergeCell ref="H97:AQ97"/>
    <mergeCell ref="O99:R99"/>
    <mergeCell ref="V112:Z112"/>
    <mergeCell ref="AA113:AD113"/>
    <mergeCell ref="AE113:AI113"/>
    <mergeCell ref="AA115:AD115"/>
    <mergeCell ref="AE115:AI115"/>
    <mergeCell ref="AB99:AE99"/>
    <mergeCell ref="AN100:AQ100"/>
    <mergeCell ref="AA114:AD114"/>
    <mergeCell ref="V109:Z109"/>
    <mergeCell ref="R109:U109"/>
    <mergeCell ref="AE109:AI109"/>
    <mergeCell ref="AJ109:AM109"/>
    <mergeCell ref="AN109:AQ109"/>
    <mergeCell ref="AN99:AQ99"/>
    <mergeCell ref="D106:AR106"/>
    <mergeCell ref="AA109:AD109"/>
    <mergeCell ref="D107:AR107"/>
    <mergeCell ref="D108:G108"/>
    <mergeCell ref="AE114:AI114"/>
    <mergeCell ref="AJ114:AM114"/>
    <mergeCell ref="AN114:AQ114"/>
    <mergeCell ref="D114:Q114"/>
    <mergeCell ref="AN110:AQ110"/>
    <mergeCell ref="R110:U110"/>
    <mergeCell ref="AN111:AQ111"/>
    <mergeCell ref="V111:Z111"/>
    <mergeCell ref="AA111:AD111"/>
    <mergeCell ref="AJ113:AM113"/>
    <mergeCell ref="D117:AR117"/>
    <mergeCell ref="D116:Q116"/>
    <mergeCell ref="R116:U116"/>
    <mergeCell ref="V116:Z116"/>
    <mergeCell ref="AA116:AD116"/>
    <mergeCell ref="AJ115:AM115"/>
    <mergeCell ref="V115:Z115"/>
    <mergeCell ref="AN116:AQ116"/>
    <mergeCell ref="V114:Z114"/>
    <mergeCell ref="D113:Q113"/>
    <mergeCell ref="AJ116:AM116"/>
    <mergeCell ref="AN113:AQ113"/>
    <mergeCell ref="V113:Z113"/>
    <mergeCell ref="AE116:AI116"/>
    <mergeCell ref="AN115:AQ115"/>
    <mergeCell ref="R115:U115"/>
    <mergeCell ref="R114:U114"/>
    <mergeCell ref="R113:U113"/>
    <mergeCell ref="H108:Q108"/>
    <mergeCell ref="R108:AD108"/>
    <mergeCell ref="AE108:AQ108"/>
    <mergeCell ref="AA112:AD112"/>
    <mergeCell ref="D111:Q111"/>
    <mergeCell ref="R111:U111"/>
    <mergeCell ref="AE111:AI111"/>
    <mergeCell ref="AJ111:AM111"/>
    <mergeCell ref="AE112:AI112"/>
    <mergeCell ref="AJ112:AM112"/>
    <mergeCell ref="D66:P66"/>
    <mergeCell ref="H64:P64"/>
    <mergeCell ref="AE83:AI83"/>
    <mergeCell ref="AJ83:AN83"/>
    <mergeCell ref="AN93:AQ93"/>
    <mergeCell ref="AE93:AI93"/>
    <mergeCell ref="AJ93:AM93"/>
    <mergeCell ref="F93:O93"/>
    <mergeCell ref="P93:U93"/>
    <mergeCell ref="D79:I79"/>
    <mergeCell ref="H35:Z35"/>
    <mergeCell ref="AC35:AP35"/>
    <mergeCell ref="H24:AD24"/>
    <mergeCell ref="M33:Z33"/>
    <mergeCell ref="AC33:AP33"/>
    <mergeCell ref="AI52:AP52"/>
    <mergeCell ref="H46:Z46"/>
    <mergeCell ref="H37:AD37"/>
    <mergeCell ref="H52:U52"/>
    <mergeCell ref="AI24:AP24"/>
    <mergeCell ref="B107:B117"/>
    <mergeCell ref="AI37:AP37"/>
    <mergeCell ref="AI39:AP39"/>
    <mergeCell ref="H41:U41"/>
    <mergeCell ref="AI41:AP41"/>
    <mergeCell ref="B30:B42"/>
    <mergeCell ref="H39:AD39"/>
    <mergeCell ref="H33:J33"/>
    <mergeCell ref="AN112:AQ112"/>
    <mergeCell ref="Z41:AD41"/>
    <mergeCell ref="B17:B29"/>
    <mergeCell ref="H18:J18"/>
    <mergeCell ref="AI26:AP26"/>
    <mergeCell ref="Z28:AD28"/>
    <mergeCell ref="AI28:AP28"/>
    <mergeCell ref="H26:AD26"/>
    <mergeCell ref="H28:U28"/>
    <mergeCell ref="M18:Z18"/>
    <mergeCell ref="H20:Z20"/>
    <mergeCell ref="AC20:AP20"/>
    <mergeCell ref="AA74:AD74"/>
    <mergeCell ref="H65:P65"/>
    <mergeCell ref="AC44:AP44"/>
    <mergeCell ref="H62:U62"/>
    <mergeCell ref="AI62:AP62"/>
    <mergeCell ref="AC46:AP46"/>
    <mergeCell ref="AI48:AP48"/>
    <mergeCell ref="AI50:AP50"/>
    <mergeCell ref="D74:U74"/>
    <mergeCell ref="AE74:AI74"/>
    <mergeCell ref="D83:I83"/>
    <mergeCell ref="D82:M82"/>
    <mergeCell ref="V75:Z75"/>
    <mergeCell ref="AI58:AP58"/>
    <mergeCell ref="N79:Q79"/>
    <mergeCell ref="V81:Z81"/>
    <mergeCell ref="N82:Q82"/>
    <mergeCell ref="Z62:AD62"/>
    <mergeCell ref="H60:AD60"/>
    <mergeCell ref="H58:AD58"/>
    <mergeCell ref="D92:E92"/>
    <mergeCell ref="D93:E93"/>
    <mergeCell ref="D81:I81"/>
    <mergeCell ref="N81:Q81"/>
    <mergeCell ref="J81:M81"/>
    <mergeCell ref="V80:Z80"/>
    <mergeCell ref="P92:U92"/>
    <mergeCell ref="J83:M83"/>
    <mergeCell ref="N83:U83"/>
    <mergeCell ref="V83:Z83"/>
    <mergeCell ref="N77:Q77"/>
    <mergeCell ref="V92:Z92"/>
    <mergeCell ref="B84:B106"/>
    <mergeCell ref="V77:Z77"/>
    <mergeCell ref="D76:I76"/>
    <mergeCell ref="J76:M76"/>
    <mergeCell ref="F92:O92"/>
    <mergeCell ref="J79:M79"/>
    <mergeCell ref="D102:V102"/>
    <mergeCell ref="J78:M78"/>
    <mergeCell ref="N78:Q78"/>
    <mergeCell ref="B55:B72"/>
    <mergeCell ref="D69:V69"/>
    <mergeCell ref="Z67:AD67"/>
    <mergeCell ref="H67:P67"/>
    <mergeCell ref="D77:I77"/>
    <mergeCell ref="J77:M77"/>
    <mergeCell ref="AA77:AD77"/>
    <mergeCell ref="B73:B83"/>
    <mergeCell ref="V74:Z74"/>
    <mergeCell ref="D75:I75"/>
    <mergeCell ref="R75:U75"/>
    <mergeCell ref="H124:U124"/>
    <mergeCell ref="V124:AD124"/>
    <mergeCell ref="I128:AC128"/>
    <mergeCell ref="V125:AD125"/>
    <mergeCell ref="D124:G124"/>
    <mergeCell ref="D123:G123"/>
    <mergeCell ref="D122:G122"/>
    <mergeCell ref="H121:U121"/>
    <mergeCell ref="AE125:AN125"/>
    <mergeCell ref="AO125:AR125"/>
    <mergeCell ref="D126:AR126"/>
    <mergeCell ref="V122:AD122"/>
    <mergeCell ref="V123:AD123"/>
    <mergeCell ref="AE122:AN122"/>
    <mergeCell ref="AO123:AR123"/>
    <mergeCell ref="AE123:AN123"/>
    <mergeCell ref="AO122:AR122"/>
    <mergeCell ref="H122:U122"/>
    <mergeCell ref="B127:B134"/>
    <mergeCell ref="AJ128:AR128"/>
    <mergeCell ref="B118:B126"/>
    <mergeCell ref="D118:AR118"/>
    <mergeCell ref="D119:U119"/>
    <mergeCell ref="V119:AN119"/>
    <mergeCell ref="D120:G120"/>
    <mergeCell ref="AO124:AR124"/>
    <mergeCell ref="AE124:AN124"/>
    <mergeCell ref="AE120:AN120"/>
    <mergeCell ref="AO120:AR120"/>
    <mergeCell ref="AE121:AN121"/>
    <mergeCell ref="AO121:AR121"/>
    <mergeCell ref="H120:U120"/>
    <mergeCell ref="V120:AD120"/>
    <mergeCell ref="V121:AD121"/>
    <mergeCell ref="J75:M75"/>
    <mergeCell ref="H123:U123"/>
    <mergeCell ref="AJ110:AM110"/>
    <mergeCell ref="D110:Q110"/>
    <mergeCell ref="V110:Z110"/>
    <mergeCell ref="AA110:AD110"/>
    <mergeCell ref="AE110:AI110"/>
    <mergeCell ref="D121:G121"/>
    <mergeCell ref="D112:Q112"/>
    <mergeCell ref="R112:U112"/>
    <mergeCell ref="AQ31:AR31"/>
    <mergeCell ref="D115:Q115"/>
    <mergeCell ref="B7:B16"/>
    <mergeCell ref="H8:AD8"/>
    <mergeCell ref="H10:AD10"/>
    <mergeCell ref="H12:U12"/>
    <mergeCell ref="Z12:AD12"/>
    <mergeCell ref="D14:V14"/>
    <mergeCell ref="B43:B54"/>
    <mergeCell ref="H44:J44"/>
    <mergeCell ref="D78:I78"/>
    <mergeCell ref="B2:AR2"/>
    <mergeCell ref="AI12:AP12"/>
    <mergeCell ref="AI10:AP10"/>
    <mergeCell ref="D15:AP15"/>
    <mergeCell ref="H31:AP31"/>
    <mergeCell ref="AN75:AQ75"/>
    <mergeCell ref="N75:Q75"/>
    <mergeCell ref="AA75:AD75"/>
    <mergeCell ref="AC18:AP18"/>
    <mergeCell ref="H95:K95"/>
    <mergeCell ref="R81:U81"/>
    <mergeCell ref="AA82:AD82"/>
    <mergeCell ref="R78:U78"/>
    <mergeCell ref="AA76:AD76"/>
    <mergeCell ref="D80:I80"/>
    <mergeCell ref="J80:M80"/>
    <mergeCell ref="R80:U80"/>
    <mergeCell ref="N80:Q80"/>
    <mergeCell ref="V93:Z93"/>
    <mergeCell ref="AA92:AD92"/>
    <mergeCell ref="AA93:AD93"/>
    <mergeCell ref="AA83:AB83"/>
    <mergeCell ref="AE92:AI92"/>
    <mergeCell ref="AC83:AD83"/>
    <mergeCell ref="AJ76:AM76"/>
    <mergeCell ref="AJ81:AM81"/>
    <mergeCell ref="AA80:AD80"/>
    <mergeCell ref="AJ92:AM92"/>
    <mergeCell ref="AJ82:AM82"/>
    <mergeCell ref="R77:U77"/>
    <mergeCell ref="AE82:AI82"/>
    <mergeCell ref="V82:Z82"/>
    <mergeCell ref="R82:U82"/>
    <mergeCell ref="R79:U79"/>
    <mergeCell ref="V79:Z79"/>
    <mergeCell ref="V78:Z78"/>
    <mergeCell ref="AA78:AD78"/>
    <mergeCell ref="AE78:AI78"/>
    <mergeCell ref="AE77:AI77"/>
    <mergeCell ref="N76:Q76"/>
    <mergeCell ref="R76:U76"/>
    <mergeCell ref="V76:Z76"/>
    <mergeCell ref="AA79:AD79"/>
    <mergeCell ref="AN79:AQ79"/>
    <mergeCell ref="AN81:AQ81"/>
    <mergeCell ref="AE81:AI81"/>
    <mergeCell ref="AE80:AI80"/>
    <mergeCell ref="AA81:AD81"/>
    <mergeCell ref="AE79:AI79"/>
    <mergeCell ref="AN82:AQ82"/>
    <mergeCell ref="AJ74:AM74"/>
    <mergeCell ref="AE75:AI75"/>
    <mergeCell ref="AJ79:AM79"/>
    <mergeCell ref="AJ78:AM78"/>
    <mergeCell ref="AN78:AQ78"/>
    <mergeCell ref="AN76:AQ76"/>
    <mergeCell ref="AN92:AQ92"/>
    <mergeCell ref="AO83:AR83"/>
    <mergeCell ref="AJ75:AM75"/>
    <mergeCell ref="AI64:AP64"/>
    <mergeCell ref="AJ80:AM80"/>
    <mergeCell ref="AN80:AQ80"/>
    <mergeCell ref="AE76:AI76"/>
    <mergeCell ref="AJ77:AM77"/>
    <mergeCell ref="AN77:AQ77"/>
    <mergeCell ref="AN74:AQ74"/>
    <mergeCell ref="B3:AR3"/>
    <mergeCell ref="AQ18:AR18"/>
    <mergeCell ref="AQ44:AR44"/>
    <mergeCell ref="AQ33:AR33"/>
    <mergeCell ref="AI60:AK60"/>
    <mergeCell ref="AO60:AP60"/>
    <mergeCell ref="H48:AD48"/>
    <mergeCell ref="H50:AD50"/>
    <mergeCell ref="Z52:AD52"/>
    <mergeCell ref="M44:Z44"/>
  </mergeCells>
  <conditionalFormatting sqref="AE121:AE124">
    <cfRule type="cellIs" priority="590" dxfId="4" operator="equal" stopIfTrue="1">
      <formula>0</formula>
    </cfRule>
  </conditionalFormatting>
  <conditionalFormatting sqref="AJ128:AR128 H8:AD8 H10:AD10 H12:U12 M18:Z18 H20:Z20 AI26:AP26 AR26 AC18:AP18 M44:Z44 AC44:AP44 AR50">
    <cfRule type="cellIs" priority="591" dxfId="4" operator="equal" stopIfTrue="1">
      <formula>""</formula>
    </cfRule>
  </conditionalFormatting>
  <conditionalFormatting sqref="Z12:AD12">
    <cfRule type="cellIs" priority="550" dxfId="4" operator="equal" stopIfTrue="1">
      <formula>""</formula>
    </cfRule>
  </conditionalFormatting>
  <conditionalFormatting sqref="H18:J18">
    <cfRule type="cellIs" priority="549" dxfId="4" operator="equal" stopIfTrue="1">
      <formula>"Choisir…"</formula>
    </cfRule>
  </conditionalFormatting>
  <conditionalFormatting sqref="H123:H124">
    <cfRule type="cellIs" priority="401" dxfId="4" operator="equal" stopIfTrue="1">
      <formula>""</formula>
    </cfRule>
  </conditionalFormatting>
  <conditionalFormatting sqref="AF125">
    <cfRule type="cellIs" priority="601" dxfId="2" operator="notEqual" stopIfTrue="1">
      <formula>IF('1. Demande'!#REF!=TRUE,'1. Demande'!#REF!,IF('1. Demande'!#REF!=TRUE,$AE$119,'1. Demande'!#REF!))</formula>
    </cfRule>
  </conditionalFormatting>
  <conditionalFormatting sqref="AC20:AP20">
    <cfRule type="cellIs" priority="283" dxfId="4" operator="equal" stopIfTrue="1">
      <formula>""</formula>
    </cfRule>
  </conditionalFormatting>
  <conditionalFormatting sqref="AI10">
    <cfRule type="cellIs" priority="209" dxfId="4" operator="equal" stopIfTrue="1">
      <formula>""</formula>
    </cfRule>
  </conditionalFormatting>
  <conditionalFormatting sqref="I128">
    <cfRule type="cellIs" priority="230" dxfId="4" operator="equal" stopIfTrue="1">
      <formula>""</formula>
    </cfRule>
  </conditionalFormatting>
  <conditionalFormatting sqref="AI12">
    <cfRule type="cellIs" priority="211" dxfId="4" operator="equal" stopIfTrue="1">
      <formula>""</formula>
    </cfRule>
  </conditionalFormatting>
  <conditionalFormatting sqref="D15">
    <cfRule type="cellIs" priority="208" dxfId="4" operator="equal" stopIfTrue="1">
      <formula>""</formula>
    </cfRule>
  </conditionalFormatting>
  <conditionalFormatting sqref="D70:D71">
    <cfRule type="cellIs" priority="207" dxfId="4" operator="equal" stopIfTrue="1">
      <formula>""</formula>
    </cfRule>
  </conditionalFormatting>
  <conditionalFormatting sqref="AC46:AP46">
    <cfRule type="cellIs" priority="190" dxfId="4" operator="equal" stopIfTrue="1">
      <formula>""</formula>
    </cfRule>
  </conditionalFormatting>
  <conditionalFormatting sqref="H44:J44">
    <cfRule type="cellIs" priority="204" dxfId="4" operator="equal" stopIfTrue="1">
      <formula>"Choisir…"</formula>
    </cfRule>
  </conditionalFormatting>
  <conditionalFormatting sqref="AI50:AP50">
    <cfRule type="cellIs" priority="188" dxfId="4" operator="equal" stopIfTrue="1">
      <formula>""</formula>
    </cfRule>
  </conditionalFormatting>
  <conditionalFormatting sqref="AI52:AP52">
    <cfRule type="cellIs" priority="187" dxfId="4" operator="equal" stopIfTrue="1">
      <formula>""</formula>
    </cfRule>
  </conditionalFormatting>
  <conditionalFormatting sqref="AI60">
    <cfRule type="cellIs" priority="185" dxfId="4" operator="equal" stopIfTrue="1">
      <formula>""</formula>
    </cfRule>
  </conditionalFormatting>
  <conditionalFormatting sqref="H46:Z46">
    <cfRule type="cellIs" priority="195" dxfId="4" operator="equal" stopIfTrue="1">
      <formula>""</formula>
    </cfRule>
  </conditionalFormatting>
  <conditionalFormatting sqref="H48:AD48">
    <cfRule type="cellIs" priority="194" dxfId="4" operator="equal" stopIfTrue="1">
      <formula>""</formula>
    </cfRule>
  </conditionalFormatting>
  <conditionalFormatting sqref="H50:AD50">
    <cfRule type="cellIs" priority="193" dxfId="4" operator="equal" stopIfTrue="1">
      <formula>""</formula>
    </cfRule>
  </conditionalFormatting>
  <conditionalFormatting sqref="H52:U52">
    <cfRule type="cellIs" priority="192" dxfId="4" operator="equal" stopIfTrue="1">
      <formula>""</formula>
    </cfRule>
  </conditionalFormatting>
  <conditionalFormatting sqref="Z52:AD52">
    <cfRule type="cellIs" priority="191" dxfId="4" operator="equal" stopIfTrue="1">
      <formula>""</formula>
    </cfRule>
  </conditionalFormatting>
  <conditionalFormatting sqref="H64:H65">
    <cfRule type="cellIs" priority="167" dxfId="4" operator="equal" stopIfTrue="1">
      <formula>"Choisir…"</formula>
    </cfRule>
  </conditionalFormatting>
  <conditionalFormatting sqref="AI62">
    <cfRule type="cellIs" priority="166" dxfId="4" operator="equal" stopIfTrue="1">
      <formula>"Choisir…"</formula>
    </cfRule>
  </conditionalFormatting>
  <conditionalFormatting sqref="H95">
    <cfRule type="cellIs" priority="144" dxfId="4" operator="equal" stopIfTrue="1">
      <formula>"Choisir…"</formula>
    </cfRule>
  </conditionalFormatting>
  <conditionalFormatting sqref="V122">
    <cfRule type="cellIs" priority="133" dxfId="4" operator="equal" stopIfTrue="1">
      <formula>""</formula>
    </cfRule>
  </conditionalFormatting>
  <conditionalFormatting sqref="R80:R81 V80:V81">
    <cfRule type="cellIs" priority="131" dxfId="4" operator="equal" stopIfTrue="1">
      <formula>0</formula>
    </cfRule>
  </conditionalFormatting>
  <conditionalFormatting sqref="D76:I81">
    <cfRule type="cellIs" priority="132" dxfId="4" operator="equal" stopIfTrue="1">
      <formula>""</formula>
    </cfRule>
  </conditionalFormatting>
  <conditionalFormatting sqref="Z28:AD28">
    <cfRule type="cellIs" priority="80" dxfId="4" operator="equal" stopIfTrue="1">
      <formula>""</formula>
    </cfRule>
  </conditionalFormatting>
  <conditionalFormatting sqref="AI28:AP28">
    <cfRule type="cellIs" priority="117" dxfId="4" operator="equal" stopIfTrue="1">
      <formula>""</formula>
    </cfRule>
  </conditionalFormatting>
  <conditionalFormatting sqref="AQ18">
    <cfRule type="cellIs" priority="102" dxfId="4" operator="equal" stopIfTrue="1">
      <formula>""</formula>
    </cfRule>
  </conditionalFormatting>
  <conditionalFormatting sqref="AQ44">
    <cfRule type="cellIs" priority="91" dxfId="4" operator="equal" stopIfTrue="1">
      <formula>""</formula>
    </cfRule>
  </conditionalFormatting>
  <conditionalFormatting sqref="AI37">
    <cfRule type="cellIs" priority="56" dxfId="4" operator="equal" stopIfTrue="1">
      <formula>""</formula>
    </cfRule>
  </conditionalFormatting>
  <conditionalFormatting sqref="H26:AD26">
    <cfRule type="cellIs" priority="82" dxfId="4" operator="equal" stopIfTrue="1">
      <formula>""</formula>
    </cfRule>
  </conditionalFormatting>
  <conditionalFormatting sqref="AO60">
    <cfRule type="cellIs" priority="88" dxfId="4" operator="equal" stopIfTrue="1">
      <formula>""</formula>
    </cfRule>
  </conditionalFormatting>
  <conditionalFormatting sqref="H24:AD24">
    <cfRule type="cellIs" priority="83" dxfId="4" operator="equal" stopIfTrue="1">
      <formula>""</formula>
    </cfRule>
  </conditionalFormatting>
  <conditionalFormatting sqref="H28:U28">
    <cfRule type="cellIs" priority="81" dxfId="4" operator="equal" stopIfTrue="1">
      <formula>""</formula>
    </cfRule>
  </conditionalFormatting>
  <conditionalFormatting sqref="AI24">
    <cfRule type="cellIs" priority="79" dxfId="4" operator="equal" stopIfTrue="1">
      <formula>""</formula>
    </cfRule>
  </conditionalFormatting>
  <conditionalFormatting sqref="AI41:AP41">
    <cfRule type="cellIs" priority="51" dxfId="4" operator="equal" stopIfTrue="1">
      <formula>""</formula>
    </cfRule>
  </conditionalFormatting>
  <conditionalFormatting sqref="M33:Z33">
    <cfRule type="cellIs" priority="62" dxfId="4" operator="equal" stopIfTrue="1">
      <formula>""</formula>
    </cfRule>
  </conditionalFormatting>
  <conditionalFormatting sqref="Z41:AD41">
    <cfRule type="cellIs" priority="52" dxfId="4" operator="equal" stopIfTrue="1">
      <formula>""</formula>
    </cfRule>
  </conditionalFormatting>
  <conditionalFormatting sqref="H33:J33">
    <cfRule type="cellIs" priority="63" dxfId="4" operator="equal" stopIfTrue="1">
      <formula>"Choisir…"</formula>
    </cfRule>
  </conditionalFormatting>
  <conditionalFormatting sqref="AC33:AP33">
    <cfRule type="cellIs" priority="61" dxfId="4" operator="equal" stopIfTrue="1">
      <formula>""</formula>
    </cfRule>
  </conditionalFormatting>
  <conditionalFormatting sqref="AQ33">
    <cfRule type="cellIs" priority="60" dxfId="4" operator="equal" stopIfTrue="1">
      <formula>""</formula>
    </cfRule>
  </conditionalFormatting>
  <conditionalFormatting sqref="H35:Z35">
    <cfRule type="cellIs" priority="59" dxfId="4" operator="equal" stopIfTrue="1">
      <formula>""</formula>
    </cfRule>
  </conditionalFormatting>
  <conditionalFormatting sqref="AC35:AP35">
    <cfRule type="cellIs" priority="58" dxfId="4" operator="equal" stopIfTrue="1">
      <formula>""</formula>
    </cfRule>
  </conditionalFormatting>
  <conditionalFormatting sqref="H37:AD37">
    <cfRule type="cellIs" priority="57" dxfId="4" operator="equal" stopIfTrue="1">
      <formula>""</formula>
    </cfRule>
  </conditionalFormatting>
  <conditionalFormatting sqref="H39:AD39">
    <cfRule type="cellIs" priority="55" dxfId="4" operator="equal" stopIfTrue="1">
      <formula>""</formula>
    </cfRule>
  </conditionalFormatting>
  <conditionalFormatting sqref="AI39:AP39">
    <cfRule type="cellIs" priority="54" dxfId="4" operator="equal" stopIfTrue="1">
      <formula>""</formula>
    </cfRule>
  </conditionalFormatting>
  <conditionalFormatting sqref="H41:U41">
    <cfRule type="cellIs" priority="53" dxfId="4" operator="equal" stopIfTrue="1">
      <formula>""</formula>
    </cfRule>
  </conditionalFormatting>
  <conditionalFormatting sqref="AR39">
    <cfRule type="cellIs" priority="50" dxfId="4" operator="equal" stopIfTrue="1">
      <formula>""</formula>
    </cfRule>
  </conditionalFormatting>
  <conditionalFormatting sqref="H58:AD58">
    <cfRule type="cellIs" priority="49" dxfId="4" operator="equal" stopIfTrue="1">
      <formula>""</formula>
    </cfRule>
  </conditionalFormatting>
  <conditionalFormatting sqref="H60:AD60">
    <cfRule type="cellIs" priority="48" dxfId="4" operator="equal" stopIfTrue="1">
      <formula>""</formula>
    </cfRule>
  </conditionalFormatting>
  <conditionalFormatting sqref="H62:U62">
    <cfRule type="cellIs" priority="47" dxfId="4" operator="equal" stopIfTrue="1">
      <formula>""</formula>
    </cfRule>
  </conditionalFormatting>
  <conditionalFormatting sqref="Z62:AD62">
    <cfRule type="cellIs" priority="46" dxfId="4" operator="equal" stopIfTrue="1">
      <formula>""</formula>
    </cfRule>
  </conditionalFormatting>
  <conditionalFormatting sqref="AI58">
    <cfRule type="cellIs" priority="45" dxfId="4" operator="equal" stopIfTrue="1">
      <formula>""</formula>
    </cfRule>
  </conditionalFormatting>
  <conditionalFormatting sqref="D121:G122">
    <cfRule type="cellIs" priority="44" dxfId="4" operator="equal" stopIfTrue="1">
      <formula>"choisir…"</formula>
    </cfRule>
  </conditionalFormatting>
  <conditionalFormatting sqref="AE110:AE115 AJ110:AJ115 V110:V115 R110:R115">
    <cfRule type="cellIs" priority="36" dxfId="4" operator="equal" stopIfTrue="1">
      <formula>0</formula>
    </cfRule>
  </conditionalFormatting>
  <conditionalFormatting sqref="AG125:AK125">
    <cfRule type="cellIs" priority="619" dxfId="2" operator="notEqual" stopIfTrue="1">
      <formula>IF('1. Demande'!#REF!=TRUE,'1. Demande'!#REF!,IF('1. Demande'!#REF!=TRUE,$AE$119,'1. Demande'!#REF!))</formula>
    </cfRule>
  </conditionalFormatting>
  <conditionalFormatting sqref="AL125:AN125">
    <cfRule type="cellIs" priority="620" dxfId="2" operator="notEqual" stopIfTrue="1">
      <formula>IF('1. Demande'!#REF!=TRUE,'1. Demande'!#REF!,IF('1. Demande'!#REF!=TRUE,$AE$119,'1. Demande'!#REF!))</formula>
    </cfRule>
  </conditionalFormatting>
  <conditionalFormatting sqref="H67">
    <cfRule type="cellIs" priority="34" dxfId="4" operator="equal" stopIfTrue="1">
      <formula>"Choisir…"</formula>
    </cfRule>
  </conditionalFormatting>
  <conditionalFormatting sqref="AE125">
    <cfRule type="cellIs" priority="621" dxfId="2" operator="notEqual" stopIfTrue="1">
      <formula>IF('1. Demande'!#REF!=TRUE,'1. Demande'!#REF!,IF('1. Demande'!#REF!=TRUE,$AE$119,'1. Demande'!#REF!))</formula>
    </cfRule>
  </conditionalFormatting>
  <conditionalFormatting sqref="H97:AQ97 AN99:AQ99 O99 AB99">
    <cfRule type="cellIs" priority="31" dxfId="4" operator="equal" stopIfTrue="1">
      <formula>""</formula>
    </cfRule>
  </conditionalFormatting>
  <conditionalFormatting sqref="Z67:AD67">
    <cfRule type="cellIs" priority="30" dxfId="4" operator="equal" stopIfTrue="1">
      <formula>""</formula>
    </cfRule>
  </conditionalFormatting>
  <conditionalFormatting sqref="AI64:AP64">
    <cfRule type="cellIs" priority="21" dxfId="4" operator="equal" stopIfTrue="1">
      <formula>""</formula>
    </cfRule>
  </conditionalFormatting>
  <conditionalFormatting sqref="AR116">
    <cfRule type="cellIs" priority="640" dxfId="100" operator="notEqual" stopIfTrue="1">
      <formula>IF(AU108=FALSE,AH104,AR116)</formula>
    </cfRule>
  </conditionalFormatting>
  <conditionalFormatting sqref="AN116:AQ116">
    <cfRule type="cellIs" priority="641" dxfId="100" operator="notEqual" stopIfTrue="1">
      <formula>IF(AR108=FALSE,AE128,AN116)</formula>
    </cfRule>
  </conditionalFormatting>
  <conditionalFormatting sqref="V93:Z93">
    <cfRule type="cellIs" priority="20" dxfId="4" operator="equal" stopIfTrue="1">
      <formula>""</formula>
    </cfRule>
  </conditionalFormatting>
  <conditionalFormatting sqref="P93">
    <cfRule type="cellIs" priority="19" dxfId="4" operator="equal" stopIfTrue="1">
      <formula>""</formula>
    </cfRule>
  </conditionalFormatting>
  <conditionalFormatting sqref="V123:V124">
    <cfRule type="cellIs" priority="17" dxfId="4" operator="equal" stopIfTrue="1">
      <formula>""</formula>
    </cfRule>
  </conditionalFormatting>
  <conditionalFormatting sqref="F93">
    <cfRule type="cellIs" priority="9" dxfId="4" operator="equal" stopIfTrue="1">
      <formula>"Choisir…"</formula>
    </cfRule>
  </conditionalFormatting>
  <conditionalFormatting sqref="AI48">
    <cfRule type="cellIs" priority="8" dxfId="4" operator="equal" stopIfTrue="1">
      <formula>""</formula>
    </cfRule>
  </conditionalFormatting>
  <conditionalFormatting sqref="AA116:AD116">
    <cfRule type="cellIs" priority="7" dxfId="2" operator="notEqual" stopIfTrue="1">
      <formula>IF(AR108=TRUE,$AE$215,AA116)</formula>
    </cfRule>
  </conditionalFormatting>
  <conditionalFormatting sqref="R76:R79">
    <cfRule type="cellIs" priority="6" dxfId="4" operator="equal" stopIfTrue="1">
      <formula>0</formula>
    </cfRule>
  </conditionalFormatting>
  <conditionalFormatting sqref="V76:V79">
    <cfRule type="cellIs" priority="5" dxfId="4" operator="equal" stopIfTrue="1">
      <formula>0</formula>
    </cfRule>
  </conditionalFormatting>
  <conditionalFormatting sqref="D123:G123">
    <cfRule type="cellIs" priority="4" dxfId="4" operator="equal" stopIfTrue="1">
      <formula>"choisir…"</formula>
    </cfRule>
  </conditionalFormatting>
  <conditionalFormatting sqref="D124:G124">
    <cfRule type="cellIs" priority="3" dxfId="4" operator="equal" stopIfTrue="1">
      <formula>"choisir…"</formula>
    </cfRule>
  </conditionalFormatting>
  <conditionalFormatting sqref="AN74:AQ74">
    <cfRule type="cellIs" priority="2" dxfId="4" operator="equal" stopIfTrue="1">
      <formula>""</formula>
    </cfRule>
  </conditionalFormatting>
  <conditionalFormatting sqref="AE74">
    <cfRule type="cellIs" priority="1" dxfId="4" operator="equal" stopIfTrue="1">
      <formula>""</formula>
    </cfRule>
  </conditionalFormatting>
  <dataValidations count="26">
    <dataValidation type="list" allowBlank="1" showInputMessage="1" showErrorMessage="1" promptTitle="Région" prompt="Choisir la région administrative correspondante." sqref="H65">
      <formula1>Régions</formula1>
    </dataValidation>
    <dataValidation allowBlank="1" showInputMessage="1" showErrorMessage="1" promptTitle="Raison sociale" prompt="Inscrire le nom légal de votre entreprise." sqref="H8:AD8 H24:AD24 H37:AD37 H58:AD58"/>
    <dataValidation allowBlank="1" showInputMessage="1" showErrorMessage="1" promptTitle="Adresse" prompt="Inscrire l'adresse (numéro civique, rue) de votre entreprise." sqref="H10:AD10 H26:AD26 H39:AD39 H60:AD60"/>
    <dataValidation allowBlank="1" showInputMessage="1" showErrorMessage="1" promptTitle="Municipalité" prompt="Inscrire le nom de la muncipalité où est située votre entreprise." sqref="H12:U12 H28:U28 H41:U41 H62:U62"/>
    <dataValidation errorStyle="information" type="textLength" operator="equal" allowBlank="1" showInputMessage="1" showErrorMessage="1" promptTitle="Code Postal" prompt="Inscrire le code postal où est située votre entreprise." errorTitle="Code postal" error="Le code postal doit contenir 7 caractères dont un espace au 4e caractère." sqref="Z12:AD12">
      <formula1>7</formula1>
    </dataValidation>
    <dataValidation allowBlank="1" showInputMessage="1" showErrorMessage="1" promptTitle="Description sommaire" prompt="Inscrire une brève description de votre entreprise." sqref="D15:AP15"/>
    <dataValidation allowBlank="1" showInputMessage="1" showErrorMessage="1" promptTitle="Nom" prompt="Inscrire le nom de la personne autorisée à signer les documents." sqref="M18:Z18 M33:Z33"/>
    <dataValidation allowBlank="1" showInputMessage="1" showErrorMessage="1" promptTitle="Prénom" prompt="Inscrire le prénom de la personne autorisée à signer les documents." sqref="AC18:AP18 AC33:AP33"/>
    <dataValidation allowBlank="1" showInputMessage="1" showErrorMessage="1" promptTitle="Fonction" prompt="Inscrire le titre de la fonction occupée par la personne autorisée à signer les documents." sqref="H20:Z20 H35:Z35"/>
    <dataValidation allowBlank="1" showInputMessage="1" showErrorMessage="1" promptTitle="NEQ" prompt="Inscrire le numéro d’entreprise du Québec, tel qu’il est indiqué au REQ." sqref="AI10:AP10 AI24:AP24 AI37:AP37 AI58:AP58"/>
    <dataValidation allowBlank="1" showInputMessage="1" showErrorMessage="1" promptTitle="Nombre d'employés" prompt="Inscrire le nombre d'emplois équivalent temps complet (2000 heures de travail annuel)." sqref="AI12:AP12"/>
    <dataValidation allowBlank="1" showInputMessage="1" showErrorMessage="1" promptTitle="Courriel" prompt="Inscrire l'adresse courriel de la personne autorisée à signer les documents." sqref="AC20:AP20 AC35:AP35"/>
    <dataValidation allowBlank="1" showInputMessage="1" showErrorMessage="1" promptTitle="Nom" prompt="Inscrire le nom de votre électricien." sqref="M44:Z44"/>
    <dataValidation allowBlank="1" showInputMessage="1" showErrorMessage="1" promptTitle="Prénom" prompt="Inscrire le prénom de votre électricien." sqref="AC44:AP44"/>
    <dataValidation allowBlank="1" showInputMessage="1" showErrorMessage="1" promptTitle="Fonction" prompt="Inscrire le titre de la fonction occupée par votre électricien." sqref="H46:Z46"/>
    <dataValidation allowBlank="1" showInputMessage="1" showErrorMessage="1" promptTitle="Courriel" prompt="Inscrire l'adresse courriel de votre électricien." sqref="AC46:AP46"/>
    <dataValidation allowBlank="1" showInputMessage="1" showErrorMessage="1" promptTitle="Entreprise" prompt="Inscrire le nom de l'entreprise pour laquelle travaille votre électricien." sqref="H48:AD48"/>
    <dataValidation allowBlank="1" showInputMessage="1" showErrorMessage="1" promptTitle="NEQ / NAS" prompt="Il n'est pas requis de fournir le NEQ / NAS de votre électricien." sqref="AI48:AP48"/>
    <dataValidation allowBlank="1" showInputMessage="1" showErrorMessage="1" promptTitle="Adresse" prompt="Inscrire l'adresse (numéro civique et rue) de correspondance de votre électricien." sqref="H50:AD50"/>
    <dataValidation allowBlank="1" showInputMessage="1" showErrorMessage="1" promptTitle="Municipalité" prompt="Inscrire le nom de la municipalité associée à l'adresse de votre électricien." sqref="H52:U52"/>
    <dataValidation allowBlank="1" showInputMessage="1" showErrorMessage="1" promptTitle="Production annuelle" prompt="Inscrire la production annuelle de votre site ainsi que l'unité de mesure utilisée (tonnes, litres, etc)." sqref="AI60"/>
    <dataValidation allowBlank="1" showInputMessage="1" showErrorMessage="1" promptTitle="Description" prompt="Décrire sommairement les activités du site nécessitant le triphasé et le projet d'extension du réseau." sqref="D70:AP71"/>
    <dataValidation allowBlank="1" showInputMessage="1" showErrorMessage="1" promptTitle="Numéro de la demande" prompt="Indiquer le numéro de demande qui vous sera fournis par votre distribiteur (un numéro de 8 chiffres débutant par 2)." sqref="Z67:AD67"/>
    <dataValidation allowBlank="1" showInputMessage="1" showErrorMessage="1" promptTitle="Contribution" prompt="Indiquer le montant de contribution demandée dans le cadre du programme (maximum 75% des dépenses admissibles ou 250 000$)" sqref="AE121:AN124"/>
    <dataValidation allowBlank="1" showInputMessage="1" showErrorMessage="1" promptTitle="Signature autorisé" prompt="Transmettre une copie électronique signée ainsi que le formulaire en format Excel." sqref="I128:AC128"/>
    <dataValidation allowBlank="1" showInputMessage="1" showErrorMessage="1" promptTitle="Date" prompt="Indiquer la date de signature du formulaire" sqref="AJ128:AR128"/>
  </dataValidations>
  <printOptions/>
  <pageMargins left="0.7086614173228347" right="0.7086614173228347" top="0.7480314960629921" bottom="0.7480314960629921" header="0.31496062992125984" footer="0.31496062992125984"/>
  <pageSetup fitToHeight="2" horizontalDpi="300" verticalDpi="300" orientation="portrait" scale="59" r:id="rId3"/>
  <ignoredErrors>
    <ignoredError sqref="C76:C81" evalError="1"/>
  </ignoredErrors>
  <drawing r:id="rId2"/>
  <legacy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5:AT59"/>
  <sheetViews>
    <sheetView showGridLines="0" showOutlineSymbols="0" zoomScalePageLayoutView="0" workbookViewId="0" topLeftCell="E11">
      <selection activeCell="U16" sqref="U16"/>
    </sheetView>
  </sheetViews>
  <sheetFormatPr defaultColWidth="11.57421875" defaultRowHeight="15"/>
  <cols>
    <col min="1" max="1" width="8.7109375" style="230" customWidth="1"/>
    <col min="2" max="2" width="29.8515625" style="230" customWidth="1"/>
    <col min="3" max="3" width="10.57421875" style="230" customWidth="1"/>
    <col min="4" max="4" width="16.8515625" style="230" customWidth="1"/>
    <col min="5" max="5" width="7.7109375" style="230" customWidth="1"/>
    <col min="6" max="6" width="17.140625" style="230" customWidth="1"/>
    <col min="7" max="8" width="6.00390625" style="230" customWidth="1"/>
    <col min="9" max="9" width="8.00390625" style="230" customWidth="1"/>
    <col min="10" max="10" width="10.8515625" style="230" customWidth="1"/>
    <col min="11" max="11" width="9.7109375" style="230" customWidth="1"/>
    <col min="12" max="12" width="9.421875" style="230" customWidth="1"/>
    <col min="13" max="15" width="9.00390625" style="230" customWidth="1"/>
    <col min="16" max="16" width="10.00390625" style="230" customWidth="1"/>
    <col min="17" max="19" width="10.421875" style="230" customWidth="1"/>
    <col min="20" max="20" width="9.8515625" style="230" customWidth="1"/>
    <col min="21" max="21" width="10.00390625" style="230" customWidth="1"/>
    <col min="22" max="22" width="7.8515625" style="230" customWidth="1"/>
    <col min="23" max="23" width="6.8515625" style="230" customWidth="1"/>
    <col min="24" max="24" width="6.421875" style="230" customWidth="1"/>
    <col min="25" max="25" width="5.28125" style="230" customWidth="1"/>
    <col min="26" max="26" width="4.7109375" style="230" customWidth="1"/>
    <col min="27" max="27" width="10.00390625" style="230" customWidth="1"/>
    <col min="28" max="28" width="20.421875" style="230" customWidth="1"/>
    <col min="29" max="29" width="9.421875" style="230" customWidth="1"/>
    <col min="30" max="30" width="5.7109375" style="230" customWidth="1"/>
    <col min="31" max="31" width="5.421875" style="230" customWidth="1"/>
    <col min="32" max="33" width="6.00390625" style="230" customWidth="1"/>
    <col min="34" max="34" width="10.57421875" style="230" customWidth="1"/>
    <col min="35" max="35" width="16.57421875" style="230" customWidth="1"/>
    <col min="36" max="36" width="13.7109375" style="230" customWidth="1"/>
    <col min="37" max="38" width="14.140625" style="230" customWidth="1"/>
    <col min="39" max="39" width="14.28125" style="230" customWidth="1"/>
    <col min="40" max="40" width="11.421875" style="230" customWidth="1"/>
    <col min="41" max="41" width="11.57421875" style="230" customWidth="1"/>
    <col min="42" max="42" width="12.8515625" style="230" customWidth="1"/>
    <col min="43" max="43" width="9.8515625" style="230" customWidth="1"/>
    <col min="44" max="44" width="20.140625" style="230" customWidth="1"/>
    <col min="45" max="16384" width="11.57421875" style="230" customWidth="1"/>
  </cols>
  <sheetData>
    <row r="1" ht="12.75"/>
    <row r="2" ht="18.75" customHeight="1"/>
    <row r="3" ht="18" customHeight="1"/>
    <row r="4" ht="12.75" customHeight="1"/>
    <row r="5" ht="15.75">
      <c r="A5" s="231" t="s">
        <v>649</v>
      </c>
    </row>
    <row r="6" ht="15.75">
      <c r="A6" s="231"/>
    </row>
    <row r="7" spans="1:30" ht="15.75">
      <c r="A7" s="231"/>
      <c r="U7" s="232"/>
      <c r="AB7" s="233"/>
      <c r="AC7" s="233"/>
      <c r="AD7" s="233"/>
    </row>
    <row r="8" spans="1:33" ht="12.75">
      <c r="A8" s="234"/>
      <c r="B8" s="235" t="s">
        <v>650</v>
      </c>
      <c r="C8" s="911" t="s">
        <v>37</v>
      </c>
      <c r="D8" s="911"/>
      <c r="E8" s="911"/>
      <c r="F8" s="911"/>
      <c r="G8" s="911"/>
      <c r="AA8" s="235" t="s">
        <v>651</v>
      </c>
      <c r="AB8" s="912" t="s">
        <v>19</v>
      </c>
      <c r="AC8" s="912"/>
      <c r="AD8" s="912"/>
      <c r="AE8" s="912"/>
      <c r="AF8" s="912"/>
      <c r="AG8" s="236"/>
    </row>
    <row r="9" spans="1:31" ht="12.75">
      <c r="A9" s="234"/>
      <c r="B9" s="235" t="s">
        <v>652</v>
      </c>
      <c r="C9" s="913"/>
      <c r="D9" s="913"/>
      <c r="J9" s="237"/>
      <c r="AA9" s="235" t="s">
        <v>653</v>
      </c>
      <c r="AB9" s="913"/>
      <c r="AC9" s="913"/>
      <c r="AD9" s="237"/>
      <c r="AE9" s="237"/>
    </row>
    <row r="10" spans="7:30" ht="12.75">
      <c r="G10" s="232"/>
      <c r="H10" s="232"/>
      <c r="M10" s="237"/>
      <c r="N10" s="237"/>
      <c r="O10" s="237"/>
      <c r="AB10" s="233"/>
      <c r="AC10" s="233"/>
      <c r="AD10" s="233"/>
    </row>
    <row r="11" spans="1:33" s="243" customFormat="1" ht="21" customHeight="1">
      <c r="A11" s="238" t="s">
        <v>654</v>
      </c>
      <c r="B11" s="239"/>
      <c r="C11" s="240"/>
      <c r="D11" s="240"/>
      <c r="E11" s="240"/>
      <c r="F11" s="239"/>
      <c r="G11" s="239"/>
      <c r="H11" s="239"/>
      <c r="I11" s="239"/>
      <c r="J11" s="239"/>
      <c r="K11" s="239"/>
      <c r="L11" s="239"/>
      <c r="M11" s="239"/>
      <c r="N11" s="239"/>
      <c r="O11" s="239"/>
      <c r="P11" s="239"/>
      <c r="Q11" s="239"/>
      <c r="R11" s="239"/>
      <c r="S11" s="239"/>
      <c r="T11" s="239"/>
      <c r="U11" s="239"/>
      <c r="V11" s="239"/>
      <c r="W11" s="239"/>
      <c r="X11" s="239"/>
      <c r="Y11" s="239"/>
      <c r="Z11" s="239"/>
      <c r="AA11" s="239"/>
      <c r="AB11" s="241"/>
      <c r="AC11" s="914" t="s">
        <v>655</v>
      </c>
      <c r="AD11" s="915"/>
      <c r="AE11" s="915"/>
      <c r="AF11" s="916"/>
      <c r="AG11" s="242"/>
    </row>
    <row r="12" spans="1:35" s="243" customFormat="1" ht="35.25" customHeight="1">
      <c r="A12" s="892" t="s">
        <v>656</v>
      </c>
      <c r="B12" s="899" t="s">
        <v>657</v>
      </c>
      <c r="C12" s="899" t="s">
        <v>335</v>
      </c>
      <c r="D12" s="899" t="s">
        <v>337</v>
      </c>
      <c r="E12" s="892" t="s">
        <v>658</v>
      </c>
      <c r="F12" s="917" t="s">
        <v>659</v>
      </c>
      <c r="G12" s="918"/>
      <c r="H12" s="918"/>
      <c r="I12" s="918"/>
      <c r="J12" s="918"/>
      <c r="K12" s="919"/>
      <c r="L12" s="907" t="s">
        <v>660</v>
      </c>
      <c r="M12" s="907"/>
      <c r="N12" s="907"/>
      <c r="O12" s="907"/>
      <c r="P12" s="906"/>
      <c r="Q12" s="905" t="s">
        <v>661</v>
      </c>
      <c r="R12" s="907"/>
      <c r="S12" s="907"/>
      <c r="T12" s="906"/>
      <c r="U12" s="917" t="s">
        <v>662</v>
      </c>
      <c r="V12" s="920"/>
      <c r="W12" s="905" t="s">
        <v>663</v>
      </c>
      <c r="X12" s="906"/>
      <c r="Y12" s="894" t="s">
        <v>664</v>
      </c>
      <c r="Z12" s="894" t="s">
        <v>665</v>
      </c>
      <c r="AA12" s="896" t="s">
        <v>666</v>
      </c>
      <c r="AB12" s="899" t="s">
        <v>667</v>
      </c>
      <c r="AC12" s="896" t="s">
        <v>668</v>
      </c>
      <c r="AD12" s="894" t="s">
        <v>669</v>
      </c>
      <c r="AE12" s="894" t="s">
        <v>670</v>
      </c>
      <c r="AF12" s="894" t="s">
        <v>671</v>
      </c>
      <c r="AG12" s="244"/>
      <c r="AI12" s="243" t="s">
        <v>1012</v>
      </c>
    </row>
    <row r="13" spans="1:33" s="243" customFormat="1" ht="12.75" customHeight="1">
      <c r="A13" s="923"/>
      <c r="B13" s="924"/>
      <c r="C13" s="900"/>
      <c r="D13" s="900"/>
      <c r="E13" s="900"/>
      <c r="F13" s="910" t="s">
        <v>672</v>
      </c>
      <c r="G13" s="921" t="s">
        <v>23</v>
      </c>
      <c r="H13" s="892" t="s">
        <v>673</v>
      </c>
      <c r="I13" s="910" t="s">
        <v>674</v>
      </c>
      <c r="J13" s="892" t="s">
        <v>675</v>
      </c>
      <c r="K13" s="899" t="s">
        <v>676</v>
      </c>
      <c r="L13" s="899" t="s">
        <v>674</v>
      </c>
      <c r="M13" s="899" t="s">
        <v>677</v>
      </c>
      <c r="N13" s="899" t="s">
        <v>678</v>
      </c>
      <c r="O13" s="899" t="s">
        <v>517</v>
      </c>
      <c r="P13" s="899" t="s">
        <v>518</v>
      </c>
      <c r="Q13" s="905" t="s">
        <v>679</v>
      </c>
      <c r="R13" s="907"/>
      <c r="S13" s="906"/>
      <c r="T13" s="899" t="s">
        <v>680</v>
      </c>
      <c r="U13" s="899" t="s">
        <v>681</v>
      </c>
      <c r="V13" s="892" t="s">
        <v>682</v>
      </c>
      <c r="W13" s="892" t="s">
        <v>683</v>
      </c>
      <c r="X13" s="892" t="s">
        <v>684</v>
      </c>
      <c r="Y13" s="897"/>
      <c r="Z13" s="903"/>
      <c r="AA13" s="897"/>
      <c r="AB13" s="900"/>
      <c r="AC13" s="897"/>
      <c r="AD13" s="895"/>
      <c r="AE13" s="895"/>
      <c r="AF13" s="895"/>
      <c r="AG13" s="244"/>
    </row>
    <row r="14" spans="1:33" s="243" customFormat="1" ht="21.75" customHeight="1">
      <c r="A14" s="909"/>
      <c r="B14" s="908"/>
      <c r="C14" s="901"/>
      <c r="D14" s="901"/>
      <c r="E14" s="901"/>
      <c r="F14" s="893"/>
      <c r="G14" s="922"/>
      <c r="H14" s="893"/>
      <c r="I14" s="909"/>
      <c r="J14" s="909"/>
      <c r="K14" s="901"/>
      <c r="L14" s="901"/>
      <c r="M14" s="901"/>
      <c r="N14" s="901"/>
      <c r="O14" s="901"/>
      <c r="P14" s="901"/>
      <c r="Q14" s="293" t="s">
        <v>685</v>
      </c>
      <c r="R14" s="293" t="s">
        <v>686</v>
      </c>
      <c r="S14" s="293" t="s">
        <v>687</v>
      </c>
      <c r="T14" s="908"/>
      <c r="U14" s="908"/>
      <c r="V14" s="909"/>
      <c r="W14" s="893"/>
      <c r="X14" s="893"/>
      <c r="Y14" s="898"/>
      <c r="Z14" s="904"/>
      <c r="AA14" s="898"/>
      <c r="AB14" s="901"/>
      <c r="AC14" s="898"/>
      <c r="AD14" s="902"/>
      <c r="AE14" s="902"/>
      <c r="AF14" s="895"/>
      <c r="AG14" s="244"/>
    </row>
    <row r="15" spans="1:46" s="243" customFormat="1" ht="71.25">
      <c r="A15" s="292" t="s">
        <v>688</v>
      </c>
      <c r="B15" s="291" t="s">
        <v>657</v>
      </c>
      <c r="C15" s="296" t="s">
        <v>335</v>
      </c>
      <c r="D15" s="296" t="s">
        <v>337</v>
      </c>
      <c r="E15" s="296" t="s">
        <v>689</v>
      </c>
      <c r="F15" s="293" t="s">
        <v>690</v>
      </c>
      <c r="G15" s="295" t="s">
        <v>691</v>
      </c>
      <c r="H15" s="295" t="s">
        <v>692</v>
      </c>
      <c r="I15" s="292" t="s">
        <v>693</v>
      </c>
      <c r="J15" s="292" t="s">
        <v>694</v>
      </c>
      <c r="K15" s="296" t="s">
        <v>695</v>
      </c>
      <c r="L15" s="296" t="s">
        <v>696</v>
      </c>
      <c r="M15" s="296" t="s">
        <v>697</v>
      </c>
      <c r="N15" s="296" t="s">
        <v>698</v>
      </c>
      <c r="O15" s="296" t="s">
        <v>106</v>
      </c>
      <c r="P15" s="296" t="s">
        <v>699</v>
      </c>
      <c r="Q15" s="293" t="s">
        <v>584</v>
      </c>
      <c r="R15" s="293" t="s">
        <v>585</v>
      </c>
      <c r="S15" s="293" t="s">
        <v>586</v>
      </c>
      <c r="T15" s="291" t="s">
        <v>700</v>
      </c>
      <c r="U15" s="291" t="s">
        <v>701</v>
      </c>
      <c r="V15" s="292" t="s">
        <v>702</v>
      </c>
      <c r="W15" s="293" t="s">
        <v>703</v>
      </c>
      <c r="X15" s="293" t="s">
        <v>704</v>
      </c>
      <c r="Y15" s="298" t="s">
        <v>354</v>
      </c>
      <c r="Z15" s="297" t="s">
        <v>705</v>
      </c>
      <c r="AA15" s="298" t="s">
        <v>706</v>
      </c>
      <c r="AB15" s="296" t="s">
        <v>667</v>
      </c>
      <c r="AC15" s="298" t="s">
        <v>707</v>
      </c>
      <c r="AD15" s="299" t="s">
        <v>708</v>
      </c>
      <c r="AE15" s="299" t="s">
        <v>709</v>
      </c>
      <c r="AF15" s="294" t="s">
        <v>710</v>
      </c>
      <c r="AG15" s="299" t="s">
        <v>711</v>
      </c>
      <c r="AH15" s="243" t="s">
        <v>712</v>
      </c>
      <c r="AI15" s="243" t="s">
        <v>713</v>
      </c>
      <c r="AJ15" s="243" t="s">
        <v>714</v>
      </c>
      <c r="AK15" s="243" t="s">
        <v>715</v>
      </c>
      <c r="AL15" s="243" t="s">
        <v>716</v>
      </c>
      <c r="AM15" s="243" t="s">
        <v>717</v>
      </c>
      <c r="AN15" s="243" t="s">
        <v>718</v>
      </c>
      <c r="AO15" s="243" t="s">
        <v>719</v>
      </c>
      <c r="AP15" s="230" t="s">
        <v>720</v>
      </c>
      <c r="AQ15" s="230" t="s">
        <v>60</v>
      </c>
      <c r="AR15" s="230" t="s">
        <v>334</v>
      </c>
      <c r="AT15" s="243" t="s">
        <v>1122</v>
      </c>
    </row>
    <row r="16" spans="1:46" s="322" customFormat="1" ht="15.75" customHeight="1">
      <c r="A16" s="327">
        <v>1</v>
      </c>
      <c r="B16" s="324" t="str">
        <f>'1. Demande'!F93</f>
        <v>Choisir…</v>
      </c>
      <c r="C16" s="324" t="s">
        <v>754</v>
      </c>
      <c r="D16" s="324" t="str">
        <f>'1. Demande'!$F$93</f>
        <v>Choisir…</v>
      </c>
      <c r="E16" s="324" t="s">
        <v>22</v>
      </c>
      <c r="F16" s="324" t="s">
        <v>61</v>
      </c>
      <c r="G16" s="247" t="str">
        <f aca="true" ca="1" t="shared" si="0" ref="G16:G49">IF(F16="","",IF(OR($E16="choisir…",$E16="Aucun"),"",INDEX(OFFSET(INDIRECT($E16),,1),MATCH($F16,INDIRECT($E16),0))))</f>
        <v>kWh</v>
      </c>
      <c r="H16" s="248"/>
      <c r="I16" s="328">
        <f>#VALUE!</f>
      </c>
      <c r="J16" s="324"/>
      <c r="K16" s="329"/>
      <c r="L16" s="326">
        <f>IF('1. Demande'!P93="Électricité",-L19,O16/3.6*1000)</f>
        <v>0</v>
      </c>
      <c r="M16" s="330">
        <f>_xlfn.IFERROR(IF(A16=1,VLOOKUP(F16,'1. Demande'!$D$76:$Z$81,19,FALSE)/VLOOKUP(F16,'1. Demande'!$D$76:$Z$81,15,FALSE),0),0.109)</f>
        <v>0.109</v>
      </c>
      <c r="N16" s="331">
        <f aca="true" t="shared" si="1" ref="N16:N22">L16*M16</f>
        <v>0</v>
      </c>
      <c r="O16" s="254">
        <f>-AT16</f>
        <v>0</v>
      </c>
      <c r="P16" s="254">
        <f ca="1">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v>0</v>
      </c>
      <c r="Q16" s="307">
        <f>'1. Demande'!R116</f>
        <v>0</v>
      </c>
      <c r="R16" s="307">
        <f>'1. Demande'!V116</f>
        <v>0</v>
      </c>
      <c r="S16" s="307">
        <f>Q16+R16</f>
        <v>0</v>
      </c>
      <c r="T16" s="256">
        <f>S16-U16</f>
        <v>0</v>
      </c>
      <c r="U16" s="256">
        <f ca="1">MIN(INDEX(OFFSET(Triphasé,,2,,),MATCH(D16,Triphasé,0)),INDEX(OFFSET(Triphasé,,3,,),MATCH(D16,Triphasé,0))*S16)</f>
        <v>0</v>
      </c>
      <c r="V16" s="302" t="s">
        <v>596</v>
      </c>
      <c r="W16" s="304" t="e">
        <f>IF('1. Demande'!P93&lt;&gt;"Électricité",S16/SUM(N16:N22),999)</f>
        <v>#DIV/0!</v>
      </c>
      <c r="X16" s="304" t="e">
        <f>IF('1. Demande'!P93&lt;&gt;"Électricité",T16/SUM(N16:N22),999)</f>
        <v>#DIV/0!</v>
      </c>
      <c r="Y16" s="305">
        <v>10</v>
      </c>
      <c r="Z16" s="305">
        <v>40</v>
      </c>
      <c r="AA16" s="302" t="s">
        <v>991</v>
      </c>
      <c r="AB16" s="323"/>
      <c r="AC16" s="323" t="s">
        <v>994</v>
      </c>
      <c r="AD16" s="303"/>
      <c r="AE16" s="302" t="s">
        <v>187</v>
      </c>
      <c r="AF16" s="303"/>
      <c r="AG16" s="321" t="b">
        <f aca="true" ca="1" t="shared" si="2" ref="AG16:AG49">INDEX(OFFSET(Aide_dem,,1,,),MATCH(AE16,Aide_dem,0))</f>
        <v>1</v>
      </c>
      <c r="AH16" s="322">
        <f aca="true" ca="1" t="shared" si="3" ref="AH16:AH49">IF(C16&lt;&gt;"Choisir…",INDEX(OFFSET(Volet,,1,,),MATCH(C16,Volet,0)),"")</f>
        <v>10</v>
      </c>
      <c r="AI16" s="322">
        <f aca="true" ca="1" t="shared" si="4" ref="AI16:AI49">IF(D16&lt;&gt;"",INDEX(OFFSET(INDIRECT(C16),,1,,),MATCH(D16,INDIRECT(C16),0)),"")</f>
        <v>0</v>
      </c>
      <c r="AJ16" s="322">
        <f aca="true" ca="1" t="shared" si="5" ref="AJ16:AJ49">IF(E16&lt;&gt;"Choisir…",INDEX(OFFSET(Type_emission,,1,,),MATCH(E16,Type_emission,0)),"")</f>
        <v>1</v>
      </c>
      <c r="AK16" s="322">
        <f aca="true" ca="1" t="shared" si="6" ref="AK16:AK49">IF(F16="","",INDEX(OFFSET(IF(E16="Énergie",Énergie,IF(E16="Fugitive",PRP,"")),,-1,,),MATCH(F16,IF(E16="Énergie",Énergie,IF(E16="Fugitive",PRP,"")),0)))</f>
        <v>1</v>
      </c>
      <c r="AL16" s="306">
        <f aca="true" ca="1" t="shared" si="7" ref="AL16:AL49">IF(AND(E16="Énergie",F16&lt;&gt;""),INDEX(OFFSET(Énergie,,22,,),MATCH(F16,Énergie,0)),0)*L16</f>
        <v>0</v>
      </c>
      <c r="AM16" s="322">
        <f aca="true" ca="1" t="shared" si="8" ref="AM16:AM49">IF(V16&lt;&gt;"Choisir…",INDEX(OFFSET(Fin_autre,,-1,,),MATCH(V16,Fin_autre,0)),"")</f>
        <v>1</v>
      </c>
      <c r="AN16" s="322" t="str">
        <f aca="true" ca="1" t="shared" si="9" ref="AN16:AN49">IF(AA16&lt;&gt;"Choisir…",INDEX(OFFSET(Recom,,1,,),MATCH(AA16,Recom,0)),"")</f>
        <v>I</v>
      </c>
      <c r="AO16" s="322">
        <f aca="true" ca="1" t="shared" si="10" ref="AO16:AO49">IF(AC16&lt;&gt;"Choisir…",INDEX(OFFSET(Action,,1,,),MATCH(AC16,Action,0)),"")</f>
        <v>1</v>
      </c>
      <c r="AP16" s="322" t="b">
        <v>0</v>
      </c>
      <c r="AQ16" s="322" t="e">
        <f>Data!$DP$2</f>
        <v>#N/A</v>
      </c>
      <c r="AR16" s="320" t="s">
        <v>1052</v>
      </c>
      <c r="AT16" s="541">
        <f>SUM(AT17:AT49)</f>
        <v>0</v>
      </c>
    </row>
    <row r="17" spans="1:46" s="322" customFormat="1" ht="15.75" customHeight="1">
      <c r="A17" s="327">
        <f>IF('1. Demande'!P93="Diesel",1,"")</f>
      </c>
      <c r="B17" s="324">
        <f>IF(A17="","",B16)</f>
      </c>
      <c r="C17" s="324" t="s">
        <v>754</v>
      </c>
      <c r="D17" s="324" t="str">
        <f>'1. Demande'!$F$93</f>
        <v>Choisir…</v>
      </c>
      <c r="E17" s="324" t="s">
        <v>22</v>
      </c>
      <c r="F17" s="324" t="s">
        <v>26</v>
      </c>
      <c r="G17" s="247" t="str">
        <f ca="1" t="shared" si="0"/>
        <v>L</v>
      </c>
      <c r="H17" s="248"/>
      <c r="I17" s="328">
        <f>#VALUE!</f>
      </c>
      <c r="J17" s="324"/>
      <c r="K17" s="329"/>
      <c r="L17" s="326">
        <f>IF(A17=1,'1. Demande'!$V$93,0)</f>
        <v>0</v>
      </c>
      <c r="M17" s="330">
        <f>IF(A17=1,VLOOKUP(F17,'1. Demande'!$D$76:$Z$81,19,FALSE)/VLOOKUP(F17,'1. Demande'!$D$76:$Z$81,15,FALSE),0)</f>
        <v>0</v>
      </c>
      <c r="N17" s="331">
        <f t="shared" si="1"/>
        <v>0</v>
      </c>
      <c r="O17" s="254">
        <f aca="true" ca="1" t="shared" si="11" ref="O17:O49">IF(L17="","",IF(OR(E17&lt;&gt;"Énergie",F17=""),0,INDEX(OFFSET(INDIRECT($E17),,2),MATCH($F17,INDIRECT($E17),0)))*L17/1000*IF(AND(E17="Énergie",F17&lt;&gt;""),IF(AND(INDEX(OFFSET(Énergie,,8,,),MATCH(F17,Énergie,0))=1,H17&lt;&gt;""),IF(H17=1,0,1-1.1676*H17),IF(AND(INDEX(OFFSET(Énergie,,8,,),MATCH(F17,Énergie,0))=2,H17&lt;&gt;""),1-H17,1)),1))</f>
        <v>0</v>
      </c>
      <c r="P17" s="254">
        <f aca="true" ca="1" t="shared" si="12" ref="P17:P49">IF(L17="","",IF(OR($E17="choisir…",$E17="Aucun",F17=""),0,INDEX(OFFSET(INDIRECT(IF($E17="fugitive","PRP",E17)),,3),MATCH($F17,INDIRECT(IF($E17="fugitive","PRP",E17)),0)))*L17/1000000*IF($E17="fugitive",1000,1)*IF(AND(E17="Énergie",F17&lt;&gt;""),IF(AND(INDEX(OFFSET(Énergie,,8,,),MATCH(F17,Énergie,0))=1,H17&lt;&gt;""),IF(H17=1,0,1-1.1676*H17),IF(AND(INDEX(OFFSET(Énergie,,8,,),MATCH(F17,Énergie,0))=2,H17&lt;&gt;""),1-H17,1)),1))</f>
        <v>0</v>
      </c>
      <c r="Q17" s="256">
        <v>0</v>
      </c>
      <c r="R17" s="256">
        <v>0</v>
      </c>
      <c r="S17" s="256">
        <f>Q17+R17</f>
        <v>0</v>
      </c>
      <c r="T17" s="256"/>
      <c r="U17" s="256"/>
      <c r="V17" s="302" t="s">
        <v>8</v>
      </c>
      <c r="W17" s="332"/>
      <c r="X17" s="332"/>
      <c r="Y17" s="333">
        <v>10</v>
      </c>
      <c r="Z17" s="333">
        <v>40</v>
      </c>
      <c r="AA17" s="302" t="s">
        <v>8</v>
      </c>
      <c r="AB17" s="323"/>
      <c r="AC17" s="302" t="s">
        <v>8</v>
      </c>
      <c r="AD17" s="324"/>
      <c r="AE17" s="302" t="s">
        <v>188</v>
      </c>
      <c r="AF17" s="324"/>
      <c r="AG17" s="321" t="b">
        <f ca="1" t="shared" si="2"/>
        <v>0</v>
      </c>
      <c r="AH17" s="322">
        <f ca="1" t="shared" si="3"/>
        <v>10</v>
      </c>
      <c r="AI17" s="322">
        <f ca="1" t="shared" si="4"/>
        <v>0</v>
      </c>
      <c r="AJ17" s="322">
        <f ca="1" t="shared" si="5"/>
        <v>1</v>
      </c>
      <c r="AK17" s="322">
        <f ca="1" t="shared" si="6"/>
        <v>6</v>
      </c>
      <c r="AL17" s="306">
        <f ca="1" t="shared" si="7"/>
        <v>0</v>
      </c>
      <c r="AM17" s="322">
        <f ca="1" t="shared" si="8"/>
      </c>
      <c r="AN17" s="322">
        <f ca="1" t="shared" si="9"/>
      </c>
      <c r="AO17" s="322">
        <f ca="1" t="shared" si="10"/>
      </c>
      <c r="AP17" s="322" t="b">
        <v>0</v>
      </c>
      <c r="AQ17" s="322" t="e">
        <f>Data!$DP$2</f>
        <v>#N/A</v>
      </c>
      <c r="AR17" s="320" t="s">
        <v>1052</v>
      </c>
      <c r="AT17" s="541">
        <f ca="1">O17*INDEX(OFFSET(Rendement,,1,,),MATCH(F17,Rendement,0))</f>
        <v>0</v>
      </c>
    </row>
    <row r="18" spans="1:46" s="322" customFormat="1" ht="15.75" customHeight="1">
      <c r="A18" s="327">
        <f>IF('1. Demande'!P93="Essence (automobile)",1,"")</f>
      </c>
      <c r="B18" s="324">
        <f>IF(A18="","",B16)</f>
      </c>
      <c r="C18" s="324" t="s">
        <v>754</v>
      </c>
      <c r="D18" s="324" t="str">
        <f>'1. Demande'!$F$93</f>
        <v>Choisir…</v>
      </c>
      <c r="E18" s="324" t="s">
        <v>22</v>
      </c>
      <c r="F18" s="324" t="s">
        <v>66</v>
      </c>
      <c r="G18" s="247" t="str">
        <f ca="1" t="shared" si="0"/>
        <v>L</v>
      </c>
      <c r="H18" s="248"/>
      <c r="I18" s="328">
        <f>#VALUE!</f>
      </c>
      <c r="J18" s="324"/>
      <c r="K18" s="329"/>
      <c r="L18" s="326">
        <f>IF(A18=1,'1. Demande'!$V$93,0)</f>
        <v>0</v>
      </c>
      <c r="M18" s="330">
        <f>IF(A18=1,VLOOKUP(F18,'1. Demande'!$D$76:$Z$81,19,FALSE)/VLOOKUP(F18,'1. Demande'!$D$76:$Z$81,15,FALSE),0)</f>
        <v>0</v>
      </c>
      <c r="N18" s="331">
        <f t="shared" si="1"/>
        <v>0</v>
      </c>
      <c r="O18" s="254">
        <f ca="1" t="shared" si="11"/>
        <v>0</v>
      </c>
      <c r="P18" s="254">
        <f ca="1" t="shared" si="12"/>
        <v>0</v>
      </c>
      <c r="Q18" s="256">
        <v>0</v>
      </c>
      <c r="R18" s="256">
        <v>0</v>
      </c>
      <c r="S18" s="256">
        <f>Q18+R18</f>
        <v>0</v>
      </c>
      <c r="T18" s="256"/>
      <c r="U18" s="256"/>
      <c r="V18" s="302" t="s">
        <v>8</v>
      </c>
      <c r="W18" s="332"/>
      <c r="X18" s="332"/>
      <c r="Y18" s="333">
        <v>10</v>
      </c>
      <c r="Z18" s="333">
        <v>40</v>
      </c>
      <c r="AA18" s="302" t="s">
        <v>8</v>
      </c>
      <c r="AB18" s="323"/>
      <c r="AC18" s="302" t="s">
        <v>8</v>
      </c>
      <c r="AD18" s="324"/>
      <c r="AE18" s="302" t="s">
        <v>188</v>
      </c>
      <c r="AF18" s="324"/>
      <c r="AG18" s="321" t="b">
        <f ca="1" t="shared" si="2"/>
        <v>0</v>
      </c>
      <c r="AH18" s="322">
        <f ca="1" t="shared" si="3"/>
        <v>10</v>
      </c>
      <c r="AI18" s="322">
        <f ca="1" t="shared" si="4"/>
        <v>0</v>
      </c>
      <c r="AJ18" s="322">
        <f ca="1" t="shared" si="5"/>
        <v>1</v>
      </c>
      <c r="AK18" s="322">
        <f ca="1" t="shared" si="6"/>
        <v>7</v>
      </c>
      <c r="AL18" s="306">
        <f ca="1" t="shared" si="7"/>
        <v>0</v>
      </c>
      <c r="AM18" s="322">
        <f ca="1" t="shared" si="8"/>
      </c>
      <c r="AN18" s="322">
        <f ca="1" t="shared" si="9"/>
      </c>
      <c r="AO18" s="322">
        <f ca="1" t="shared" si="10"/>
      </c>
      <c r="AP18" s="322" t="b">
        <v>0</v>
      </c>
      <c r="AQ18" s="322" t="e">
        <f>Data!$DP$2</f>
        <v>#N/A</v>
      </c>
      <c r="AR18" s="320" t="s">
        <v>1052</v>
      </c>
      <c r="AT18" s="541">
        <f ca="1">O18*INDEX(OFFSET(Rendement,,1,,),MATCH(F18,Rendement,0))</f>
        <v>0</v>
      </c>
    </row>
    <row r="19" spans="1:46" ht="15.75" customHeight="1">
      <c r="A19" s="327">
        <f>IF('1. Demande'!P93="Électricité",1,"")</f>
      </c>
      <c r="B19" s="324">
        <f>IF(A19="","",B16)</f>
      </c>
      <c r="C19" s="246" t="s">
        <v>754</v>
      </c>
      <c r="D19" s="324" t="str">
        <f>'1. Demande'!$F$93</f>
        <v>Choisir…</v>
      </c>
      <c r="E19" s="246" t="s">
        <v>22</v>
      </c>
      <c r="F19" s="246" t="s">
        <v>61</v>
      </c>
      <c r="G19" s="247" t="str">
        <f ca="1" t="shared" si="0"/>
        <v>kWh</v>
      </c>
      <c r="H19" s="248"/>
      <c r="I19" s="249">
        <f>#VALUE!</f>
      </c>
      <c r="J19" s="246"/>
      <c r="K19" s="250"/>
      <c r="L19" s="326">
        <f>IF(A19=1,'1. Demande'!$V$93,0)</f>
        <v>0</v>
      </c>
      <c r="M19" s="251">
        <f>M16</f>
        <v>0.109</v>
      </c>
      <c r="N19" s="331">
        <f t="shared" si="1"/>
        <v>0</v>
      </c>
      <c r="O19" s="254">
        <f ca="1" t="shared" si="11"/>
        <v>0</v>
      </c>
      <c r="P19" s="254">
        <f ca="1" t="shared" si="12"/>
        <v>0</v>
      </c>
      <c r="Q19" s="256">
        <v>0</v>
      </c>
      <c r="R19" s="256">
        <v>0</v>
      </c>
      <c r="S19" s="256">
        <v>0</v>
      </c>
      <c r="T19" s="256"/>
      <c r="U19" s="255"/>
      <c r="V19" s="245" t="s">
        <v>8</v>
      </c>
      <c r="W19" s="257"/>
      <c r="X19" s="257"/>
      <c r="Y19" s="258">
        <v>10</v>
      </c>
      <c r="Z19" s="258">
        <v>40</v>
      </c>
      <c r="AA19" s="245" t="s">
        <v>8</v>
      </c>
      <c r="AB19" s="245"/>
      <c r="AC19" s="245" t="s">
        <v>8</v>
      </c>
      <c r="AD19" s="246"/>
      <c r="AE19" s="245" t="s">
        <v>188</v>
      </c>
      <c r="AF19" s="246"/>
      <c r="AG19" s="259" t="b">
        <f ca="1" t="shared" si="2"/>
        <v>0</v>
      </c>
      <c r="AH19" s="322">
        <f ca="1" t="shared" si="3"/>
        <v>10</v>
      </c>
      <c r="AI19" s="322">
        <f ca="1" t="shared" si="4"/>
        <v>0</v>
      </c>
      <c r="AJ19" s="322">
        <f ca="1" t="shared" si="5"/>
        <v>1</v>
      </c>
      <c r="AK19" s="322">
        <f ca="1" t="shared" si="6"/>
        <v>1</v>
      </c>
      <c r="AL19" s="306">
        <f ca="1" t="shared" si="7"/>
        <v>0</v>
      </c>
      <c r="AM19" s="322">
        <f ca="1" t="shared" si="8"/>
      </c>
      <c r="AN19" s="322">
        <f ca="1" t="shared" si="9"/>
      </c>
      <c r="AO19" s="322">
        <f ca="1" t="shared" si="10"/>
      </c>
      <c r="AP19" s="322" t="b">
        <v>0</v>
      </c>
      <c r="AQ19" s="322" t="e">
        <f>Data!$DP$2</f>
        <v>#N/A</v>
      </c>
      <c r="AR19" s="320" t="s">
        <v>1052</v>
      </c>
      <c r="AT19" s="542">
        <f>IF('1. Demande'!P93="Électricité",-O19,0)</f>
        <v>0</v>
      </c>
    </row>
    <row r="20" spans="1:46" ht="15.75" customHeight="1">
      <c r="A20" s="327">
        <f>IF('1. Demande'!P93="Mazout léger no 2",1,"")</f>
      </c>
      <c r="B20" s="324">
        <f>IF(A20="","",B16)</f>
      </c>
      <c r="C20" s="246" t="s">
        <v>754</v>
      </c>
      <c r="D20" s="324" t="str">
        <f>'1. Demande'!$F$93</f>
        <v>Choisir…</v>
      </c>
      <c r="E20" s="246" t="s">
        <v>22</v>
      </c>
      <c r="F20" s="246" t="s">
        <v>63</v>
      </c>
      <c r="G20" s="247" t="str">
        <f ca="1" t="shared" si="0"/>
        <v>L</v>
      </c>
      <c r="H20" s="248"/>
      <c r="I20" s="249"/>
      <c r="J20" s="246"/>
      <c r="K20" s="250"/>
      <c r="L20" s="326">
        <f>IF(A20=1,'1. Demande'!$V$93,0)</f>
        <v>0</v>
      </c>
      <c r="M20" s="330">
        <f>IF(A20=1,VLOOKUP(F20,'1. Demande'!$D$76:$Z$81,19,FALSE)/VLOOKUP(F20,'1. Demande'!$D$76:$Z$81,15,FALSE),0)</f>
        <v>0</v>
      </c>
      <c r="N20" s="331">
        <f t="shared" si="1"/>
        <v>0</v>
      </c>
      <c r="O20" s="254">
        <f ca="1" t="shared" si="11"/>
        <v>0</v>
      </c>
      <c r="P20" s="254">
        <f ca="1" t="shared" si="12"/>
        <v>0</v>
      </c>
      <c r="Q20" s="255">
        <v>0</v>
      </c>
      <c r="R20" s="255">
        <v>0</v>
      </c>
      <c r="S20" s="255">
        <v>0</v>
      </c>
      <c r="T20" s="256"/>
      <c r="U20" s="255"/>
      <c r="V20" s="245" t="s">
        <v>8</v>
      </c>
      <c r="W20" s="257"/>
      <c r="X20" s="257"/>
      <c r="Y20" s="258">
        <v>10</v>
      </c>
      <c r="Z20" s="258">
        <v>40</v>
      </c>
      <c r="AA20" s="245" t="s">
        <v>8</v>
      </c>
      <c r="AB20" s="245"/>
      <c r="AC20" s="245" t="s">
        <v>8</v>
      </c>
      <c r="AD20" s="246"/>
      <c r="AE20" s="245" t="s">
        <v>188</v>
      </c>
      <c r="AF20" s="246"/>
      <c r="AG20" s="259" t="b">
        <f ca="1" t="shared" si="2"/>
        <v>0</v>
      </c>
      <c r="AH20" s="306">
        <f ca="1" t="shared" si="3"/>
        <v>10</v>
      </c>
      <c r="AI20" s="306">
        <f ca="1" t="shared" si="4"/>
        <v>0</v>
      </c>
      <c r="AJ20" s="306">
        <f ca="1" t="shared" si="5"/>
        <v>1</v>
      </c>
      <c r="AK20" s="230">
        <f ca="1" t="shared" si="6"/>
        <v>3</v>
      </c>
      <c r="AL20" s="230">
        <f ca="1" t="shared" si="7"/>
        <v>0</v>
      </c>
      <c r="AM20" s="230">
        <f ca="1" t="shared" si="8"/>
      </c>
      <c r="AN20" s="306">
        <f ca="1" t="shared" si="9"/>
      </c>
      <c r="AO20" s="306">
        <f ca="1" t="shared" si="10"/>
      </c>
      <c r="AP20" s="322" t="b">
        <v>0</v>
      </c>
      <c r="AQ20" s="322" t="e">
        <f>Data!$DP$2</f>
        <v>#N/A</v>
      </c>
      <c r="AR20" s="320" t="s">
        <v>1052</v>
      </c>
      <c r="AT20" s="541">
        <f ca="1">O20*INDEX(OFFSET(Rendement,,1,,),MATCH(F20,Rendement,0))</f>
        <v>0</v>
      </c>
    </row>
    <row r="21" spans="1:46" ht="15.75" customHeight="1">
      <c r="A21" s="327">
        <f>IF('1. Demande'!P93="Mazout lourd (nos 4, 5 et 6)",1,"")</f>
      </c>
      <c r="B21" s="324">
        <f>IF(A21="","",B16)</f>
      </c>
      <c r="C21" s="246" t="s">
        <v>754</v>
      </c>
      <c r="D21" s="324" t="str">
        <f>'1. Demande'!$F$93</f>
        <v>Choisir…</v>
      </c>
      <c r="E21" s="246" t="s">
        <v>22</v>
      </c>
      <c r="F21" s="246" t="s">
        <v>64</v>
      </c>
      <c r="G21" s="247" t="str">
        <f ca="1" t="shared" si="0"/>
        <v>L</v>
      </c>
      <c r="H21" s="248"/>
      <c r="I21" s="249"/>
      <c r="J21" s="246"/>
      <c r="K21" s="250"/>
      <c r="L21" s="326">
        <f>IF(A21=1,'1. Demande'!$V$93,0)</f>
        <v>0</v>
      </c>
      <c r="M21" s="330">
        <f>IF(A21=1,VLOOKUP(F21,'1. Demande'!$D$76:$Z$81,19,FALSE)/VLOOKUP(F21,'1. Demande'!$D$76:$Z$81,15,FALSE),0)</f>
        <v>0</v>
      </c>
      <c r="N21" s="331">
        <f t="shared" si="1"/>
        <v>0</v>
      </c>
      <c r="O21" s="254">
        <f ca="1" t="shared" si="11"/>
        <v>0</v>
      </c>
      <c r="P21" s="254">
        <f ca="1" t="shared" si="12"/>
        <v>0</v>
      </c>
      <c r="Q21" s="255">
        <v>0</v>
      </c>
      <c r="R21" s="255">
        <v>0</v>
      </c>
      <c r="S21" s="255">
        <v>0</v>
      </c>
      <c r="T21" s="256"/>
      <c r="U21" s="255"/>
      <c r="V21" s="245" t="s">
        <v>8</v>
      </c>
      <c r="W21" s="257"/>
      <c r="X21" s="257"/>
      <c r="Y21" s="258">
        <v>10</v>
      </c>
      <c r="Z21" s="258">
        <v>40</v>
      </c>
      <c r="AA21" s="245" t="s">
        <v>8</v>
      </c>
      <c r="AB21" s="245"/>
      <c r="AC21" s="245" t="s">
        <v>8</v>
      </c>
      <c r="AD21" s="246"/>
      <c r="AE21" s="245" t="s">
        <v>188</v>
      </c>
      <c r="AF21" s="246"/>
      <c r="AG21" s="259" t="b">
        <f ca="1" t="shared" si="2"/>
        <v>0</v>
      </c>
      <c r="AH21" s="306">
        <f ca="1" t="shared" si="3"/>
        <v>10</v>
      </c>
      <c r="AI21" s="306">
        <f ca="1" t="shared" si="4"/>
        <v>0</v>
      </c>
      <c r="AJ21" s="306">
        <f ca="1" t="shared" si="5"/>
        <v>1</v>
      </c>
      <c r="AK21" s="230">
        <f ca="1" t="shared" si="6"/>
        <v>4</v>
      </c>
      <c r="AL21" s="230">
        <f ca="1" t="shared" si="7"/>
        <v>0</v>
      </c>
      <c r="AM21" s="230">
        <f ca="1" t="shared" si="8"/>
      </c>
      <c r="AN21" s="306">
        <f ca="1" t="shared" si="9"/>
      </c>
      <c r="AO21" s="306">
        <f ca="1" t="shared" si="10"/>
      </c>
      <c r="AP21" s="322" t="b">
        <v>0</v>
      </c>
      <c r="AQ21" s="322" t="e">
        <f>Data!$DP$2</f>
        <v>#N/A</v>
      </c>
      <c r="AR21" s="320" t="s">
        <v>1052</v>
      </c>
      <c r="AT21" s="541">
        <f ca="1">O21*INDEX(OFFSET(Rendement,,1,,),MATCH(F21,Rendement,0))</f>
        <v>0</v>
      </c>
    </row>
    <row r="22" spans="1:46" ht="15.75" customHeight="1">
      <c r="A22" s="327">
        <f>IF('1. Demande'!P93="Propane",1,"")</f>
      </c>
      <c r="B22" s="246">
        <f>IF(A21="","",B16)</f>
      </c>
      <c r="C22" s="246" t="s">
        <v>754</v>
      </c>
      <c r="D22" s="324" t="str">
        <f>'1. Demande'!$F$93</f>
        <v>Choisir…</v>
      </c>
      <c r="E22" s="246" t="s">
        <v>22</v>
      </c>
      <c r="F22" s="324" t="s">
        <v>65</v>
      </c>
      <c r="G22" s="247" t="str">
        <f ca="1" t="shared" si="0"/>
        <v>L</v>
      </c>
      <c r="H22" s="248"/>
      <c r="I22" s="249"/>
      <c r="J22" s="246"/>
      <c r="K22" s="250"/>
      <c r="L22" s="326">
        <f>IF(A22=1,'1. Demande'!$V$93,0)</f>
        <v>0</v>
      </c>
      <c r="M22" s="330">
        <f>IF(A22=1,VLOOKUP(F22,'1. Demande'!$D$76:$Z$81,19,FALSE)/VLOOKUP(F22,'1. Demande'!$D$76:$Z$81,15,FALSE),0)</f>
        <v>0</v>
      </c>
      <c r="N22" s="331">
        <f t="shared" si="1"/>
        <v>0</v>
      </c>
      <c r="O22" s="254">
        <f ca="1" t="shared" si="11"/>
        <v>0</v>
      </c>
      <c r="P22" s="254">
        <f ca="1" t="shared" si="12"/>
        <v>0</v>
      </c>
      <c r="Q22" s="255">
        <v>0</v>
      </c>
      <c r="R22" s="255">
        <v>0</v>
      </c>
      <c r="S22" s="255">
        <v>0</v>
      </c>
      <c r="T22" s="256"/>
      <c r="U22" s="255"/>
      <c r="V22" s="245" t="s">
        <v>8</v>
      </c>
      <c r="W22" s="257"/>
      <c r="X22" s="257"/>
      <c r="Y22" s="258">
        <v>10</v>
      </c>
      <c r="Z22" s="258">
        <v>40</v>
      </c>
      <c r="AA22" s="245" t="s">
        <v>8</v>
      </c>
      <c r="AB22" s="245"/>
      <c r="AC22" s="245" t="s">
        <v>8</v>
      </c>
      <c r="AD22" s="246"/>
      <c r="AE22" s="245" t="s">
        <v>188</v>
      </c>
      <c r="AF22" s="246"/>
      <c r="AG22" s="259" t="b">
        <f ca="1" t="shared" si="2"/>
        <v>0</v>
      </c>
      <c r="AH22" s="306">
        <f ca="1" t="shared" si="3"/>
        <v>10</v>
      </c>
      <c r="AI22" s="306">
        <f ca="1" t="shared" si="4"/>
        <v>0</v>
      </c>
      <c r="AJ22" s="306">
        <f ca="1" t="shared" si="5"/>
        <v>1</v>
      </c>
      <c r="AK22" s="230">
        <f ca="1" t="shared" si="6"/>
        <v>5</v>
      </c>
      <c r="AL22" s="230">
        <f ca="1" t="shared" si="7"/>
        <v>0</v>
      </c>
      <c r="AM22" s="230">
        <f ca="1" t="shared" si="8"/>
      </c>
      <c r="AN22" s="306">
        <f ca="1" t="shared" si="9"/>
      </c>
      <c r="AO22" s="306">
        <f ca="1" t="shared" si="10"/>
      </c>
      <c r="AP22" s="322" t="b">
        <v>0</v>
      </c>
      <c r="AQ22" s="322" t="e">
        <f>Data!$DP$2</f>
        <v>#N/A</v>
      </c>
      <c r="AR22" s="320" t="s">
        <v>1052</v>
      </c>
      <c r="AT22" s="541">
        <f ca="1">O22*INDEX(OFFSET(Rendement,,1,,),MATCH(F22,Rendement,0))</f>
        <v>0</v>
      </c>
    </row>
    <row r="23" spans="1:44" ht="15.75" customHeight="1">
      <c r="A23" s="245"/>
      <c r="B23" s="246"/>
      <c r="C23" s="246" t="s">
        <v>8</v>
      </c>
      <c r="D23" s="246"/>
      <c r="E23" s="246" t="s">
        <v>8</v>
      </c>
      <c r="F23" s="246"/>
      <c r="G23" s="247">
        <f ca="1" t="shared" si="0"/>
      </c>
      <c r="H23" s="248"/>
      <c r="I23" s="249"/>
      <c r="J23" s="246"/>
      <c r="K23" s="250"/>
      <c r="L23" s="249"/>
      <c r="M23" s="251"/>
      <c r="N23" s="252"/>
      <c r="O23" s="253">
        <f ca="1" t="shared" si="11"/>
      </c>
      <c r="P23" s="254">
        <f ca="1" t="shared" si="12"/>
      </c>
      <c r="Q23" s="255">
        <v>0</v>
      </c>
      <c r="R23" s="255">
        <v>0</v>
      </c>
      <c r="S23" s="255">
        <v>0</v>
      </c>
      <c r="T23" s="256"/>
      <c r="U23" s="255"/>
      <c r="V23" s="245" t="s">
        <v>8</v>
      </c>
      <c r="W23" s="257"/>
      <c r="X23" s="257"/>
      <c r="Y23" s="258"/>
      <c r="Z23" s="258"/>
      <c r="AA23" s="245" t="s">
        <v>8</v>
      </c>
      <c r="AB23" s="245"/>
      <c r="AC23" s="245" t="s">
        <v>8</v>
      </c>
      <c r="AD23" s="246"/>
      <c r="AE23" s="245" t="s">
        <v>188</v>
      </c>
      <c r="AF23" s="246"/>
      <c r="AG23" s="259" t="b">
        <f ca="1" t="shared" si="2"/>
        <v>0</v>
      </c>
      <c r="AH23" s="306">
        <f ca="1" t="shared" si="3"/>
      </c>
      <c r="AI23" s="306">
        <f ca="1" t="shared" si="4"/>
      </c>
      <c r="AJ23" s="306">
        <f ca="1" t="shared" si="5"/>
      </c>
      <c r="AK23" s="230">
        <f ca="1" t="shared" si="6"/>
      </c>
      <c r="AL23" s="230">
        <f ca="1" t="shared" si="7"/>
        <v>0</v>
      </c>
      <c r="AM23" s="230">
        <f ca="1" t="shared" si="8"/>
      </c>
      <c r="AN23" s="306">
        <f ca="1" t="shared" si="9"/>
      </c>
      <c r="AO23" s="306">
        <f ca="1" t="shared" si="10"/>
      </c>
      <c r="AP23" s="230" t="e">
        <f>CHOOSE(AH23,FALSE,Data!DV$2,Data!DV$2,Data!DV$2,FALSE,FALSE,Data!DV$2)</f>
        <v>#VALUE!</v>
      </c>
      <c r="AQ23" s="230" t="e">
        <f>CHOOSE(AH23,"Affaires",IF(Data!DP$2="agricole","Agricole","Affaires"),IF(Data!DP$2="Agricole","Industriel",Data!DP$2),IF(Data!DP$2="Agricole","Industriel",Data!DP$2),IF(Data!DP$2="Agricole","Agricole","Affaires"),IF(Data!DP$2="Transport","Transport","Affaires"),IF(Data!DP$2="Agricole","Industriel",Data!DP$2))</f>
        <v>#VALUE!</v>
      </c>
      <c r="AR23" s="230" t="e">
        <f ca="1">IF(C23="Gestion","1151000",IF(AND(C23="Émissions_Fugitives",D23="Optimisation réfrigération"),"1151210",IF(AND(C23="Conversion",D23="Bioénergies"),"1151240",IF(AND(C23="Conversion",D23="Solaires"),"1151202",INDEX(OFFSET(Type_Entreprise,,2,,),MATCH('1. Demande'!AI$76,Type_Entreprise,0))))))</f>
        <v>#N/A</v>
      </c>
    </row>
    <row r="24" spans="1:44" ht="15.75" customHeight="1">
      <c r="A24" s="245"/>
      <c r="B24" s="246"/>
      <c r="C24" s="246" t="s">
        <v>8</v>
      </c>
      <c r="D24" s="246"/>
      <c r="E24" s="246" t="s">
        <v>8</v>
      </c>
      <c r="F24" s="246"/>
      <c r="G24" s="247">
        <f ca="1" t="shared" si="0"/>
      </c>
      <c r="H24" s="248"/>
      <c r="I24" s="249"/>
      <c r="J24" s="246"/>
      <c r="K24" s="250"/>
      <c r="L24" s="249"/>
      <c r="M24" s="251"/>
      <c r="N24" s="252"/>
      <c r="O24" s="253">
        <f ca="1" t="shared" si="11"/>
      </c>
      <c r="P24" s="254">
        <f ca="1" t="shared" si="12"/>
      </c>
      <c r="Q24" s="255">
        <v>0</v>
      </c>
      <c r="R24" s="255">
        <v>0</v>
      </c>
      <c r="S24" s="255">
        <v>0</v>
      </c>
      <c r="T24" s="256"/>
      <c r="U24" s="255"/>
      <c r="V24" s="245" t="s">
        <v>8</v>
      </c>
      <c r="W24" s="257"/>
      <c r="X24" s="257"/>
      <c r="Y24" s="258"/>
      <c r="Z24" s="258"/>
      <c r="AA24" s="245" t="s">
        <v>8</v>
      </c>
      <c r="AB24" s="245"/>
      <c r="AC24" s="245" t="s">
        <v>8</v>
      </c>
      <c r="AD24" s="246"/>
      <c r="AE24" s="245" t="s">
        <v>188</v>
      </c>
      <c r="AF24" s="246"/>
      <c r="AG24" s="259" t="b">
        <f ca="1" t="shared" si="2"/>
        <v>0</v>
      </c>
      <c r="AH24" s="306">
        <f ca="1" t="shared" si="3"/>
      </c>
      <c r="AI24" s="306">
        <f ca="1" t="shared" si="4"/>
      </c>
      <c r="AJ24" s="306">
        <f ca="1" t="shared" si="5"/>
      </c>
      <c r="AK24" s="230">
        <f ca="1" t="shared" si="6"/>
      </c>
      <c r="AL24" s="230">
        <f ca="1" t="shared" si="7"/>
        <v>0</v>
      </c>
      <c r="AM24" s="230">
        <f ca="1" t="shared" si="8"/>
      </c>
      <c r="AN24" s="306">
        <f ca="1" t="shared" si="9"/>
      </c>
      <c r="AO24" s="306">
        <f ca="1" t="shared" si="10"/>
      </c>
      <c r="AP24" s="230" t="e">
        <f>CHOOSE(AH24,FALSE,Data!DV$2,Data!DV$2,Data!DV$2,FALSE,FALSE,Data!DV$2)</f>
        <v>#VALUE!</v>
      </c>
      <c r="AQ24" s="230" t="e">
        <f>CHOOSE(AH24,"Affaires",IF(Data!DP$2="agricole","Agricole","Affaires"),IF(Data!DP$2="Agricole","Industriel",Data!DP$2),IF(Data!DP$2="Agricole","Industriel",Data!DP$2),IF(Data!DP$2="Agricole","Agricole","Affaires"),IF(Data!DP$2="Transport","Transport","Affaires"),IF(Data!DP$2="Agricole","Industriel",Data!DP$2))</f>
        <v>#VALUE!</v>
      </c>
      <c r="AR24" s="230" t="e">
        <f ca="1">IF(C24="Gestion","1151000",IF(AND(C24="Émissions_Fugitives",D24="Optimisation réfrigération"),"1151210",IF(AND(C24="Conversion",D24="Bioénergies"),"1151240",IF(AND(C24="Conversion",D24="Solaires"),"1151202",INDEX(OFFSET(Type_Entreprise,,2,,),MATCH('1. Demande'!AI$76,Type_Entreprise,0))))))</f>
        <v>#N/A</v>
      </c>
    </row>
    <row r="25" spans="1:44" ht="15.75" customHeight="1">
      <c r="A25" s="245"/>
      <c r="B25" s="246"/>
      <c r="C25" s="246" t="s">
        <v>8</v>
      </c>
      <c r="D25" s="246"/>
      <c r="E25" s="246" t="s">
        <v>8</v>
      </c>
      <c r="F25" s="246"/>
      <c r="G25" s="247">
        <f ca="1" t="shared" si="0"/>
      </c>
      <c r="H25" s="248"/>
      <c r="I25" s="249"/>
      <c r="J25" s="246"/>
      <c r="K25" s="250"/>
      <c r="L25" s="249"/>
      <c r="M25" s="251"/>
      <c r="N25" s="252"/>
      <c r="O25" s="253">
        <f ca="1" t="shared" si="11"/>
      </c>
      <c r="P25" s="254">
        <f ca="1" t="shared" si="12"/>
      </c>
      <c r="Q25" s="255">
        <v>0</v>
      </c>
      <c r="R25" s="255">
        <v>0</v>
      </c>
      <c r="S25" s="255">
        <v>0</v>
      </c>
      <c r="T25" s="256"/>
      <c r="U25" s="255"/>
      <c r="V25" s="245" t="s">
        <v>8</v>
      </c>
      <c r="W25" s="257"/>
      <c r="X25" s="257"/>
      <c r="Y25" s="258"/>
      <c r="Z25" s="258"/>
      <c r="AA25" s="245" t="s">
        <v>8</v>
      </c>
      <c r="AB25" s="245"/>
      <c r="AC25" s="245" t="s">
        <v>8</v>
      </c>
      <c r="AD25" s="246"/>
      <c r="AE25" s="245" t="s">
        <v>188</v>
      </c>
      <c r="AF25" s="246"/>
      <c r="AG25" s="259" t="b">
        <f ca="1" t="shared" si="2"/>
        <v>0</v>
      </c>
      <c r="AH25" s="306">
        <f ca="1" t="shared" si="3"/>
      </c>
      <c r="AI25" s="306">
        <f ca="1" t="shared" si="4"/>
      </c>
      <c r="AJ25" s="306">
        <f ca="1" t="shared" si="5"/>
      </c>
      <c r="AK25" s="230">
        <f ca="1" t="shared" si="6"/>
      </c>
      <c r="AL25" s="230">
        <f ca="1" t="shared" si="7"/>
        <v>0</v>
      </c>
      <c r="AM25" s="230">
        <f ca="1" t="shared" si="8"/>
      </c>
      <c r="AN25" s="306">
        <f ca="1" t="shared" si="9"/>
      </c>
      <c r="AO25" s="306">
        <f ca="1" t="shared" si="10"/>
      </c>
      <c r="AP25" s="230" t="e">
        <f>CHOOSE(AH25,FALSE,Data!DV$2,Data!DV$2,Data!DV$2,FALSE,FALSE,Data!DV$2)</f>
        <v>#VALUE!</v>
      </c>
      <c r="AQ25" s="230" t="e">
        <f>CHOOSE(AH25,"Affaires",IF(Data!DP$2="agricole","Agricole","Affaires"),IF(Data!DP$2="Agricole","Industriel",Data!DP$2),IF(Data!DP$2="Agricole","Industriel",Data!DP$2),IF(Data!DP$2="Agricole","Agricole","Affaires"),IF(Data!DP$2="Transport","Transport","Affaires"),IF(Data!DP$2="Agricole","Industriel",Data!DP$2))</f>
        <v>#VALUE!</v>
      </c>
      <c r="AR25" s="230" t="e">
        <f ca="1">IF(C25="Gestion","1151000",IF(AND(C25="Émissions_Fugitives",D25="Optimisation réfrigération"),"1151210",IF(AND(C25="Conversion",D25="Bioénergies"),"1151240",IF(AND(C25="Conversion",D25="Solaires"),"1151202",INDEX(OFFSET(Type_Entreprise,,2,,),MATCH('1. Demande'!AI$76,Type_Entreprise,0))))))</f>
        <v>#N/A</v>
      </c>
    </row>
    <row r="26" spans="1:44" ht="15.75" customHeight="1">
      <c r="A26" s="245"/>
      <c r="B26" s="246"/>
      <c r="C26" s="246" t="s">
        <v>8</v>
      </c>
      <c r="D26" s="246"/>
      <c r="E26" s="246" t="s">
        <v>8</v>
      </c>
      <c r="F26" s="246"/>
      <c r="G26" s="247">
        <f ca="1" t="shared" si="0"/>
      </c>
      <c r="H26" s="248"/>
      <c r="I26" s="249"/>
      <c r="J26" s="246"/>
      <c r="K26" s="250"/>
      <c r="L26" s="249"/>
      <c r="M26" s="251"/>
      <c r="N26" s="252"/>
      <c r="O26" s="253">
        <f ca="1" t="shared" si="11"/>
      </c>
      <c r="P26" s="254">
        <f ca="1" t="shared" si="12"/>
      </c>
      <c r="Q26" s="255">
        <v>0</v>
      </c>
      <c r="R26" s="255">
        <v>0</v>
      </c>
      <c r="S26" s="255">
        <v>0</v>
      </c>
      <c r="T26" s="256"/>
      <c r="U26" s="255"/>
      <c r="V26" s="245" t="s">
        <v>8</v>
      </c>
      <c r="W26" s="257"/>
      <c r="X26" s="257"/>
      <c r="Y26" s="258"/>
      <c r="Z26" s="258"/>
      <c r="AA26" s="245" t="s">
        <v>8</v>
      </c>
      <c r="AB26" s="245"/>
      <c r="AC26" s="245" t="s">
        <v>8</v>
      </c>
      <c r="AD26" s="246"/>
      <c r="AE26" s="245" t="s">
        <v>188</v>
      </c>
      <c r="AF26" s="246"/>
      <c r="AG26" s="259" t="b">
        <f ca="1" t="shared" si="2"/>
        <v>0</v>
      </c>
      <c r="AH26" s="306">
        <f ca="1" t="shared" si="3"/>
      </c>
      <c r="AI26" s="306">
        <f ca="1" t="shared" si="4"/>
      </c>
      <c r="AJ26" s="306">
        <f ca="1" t="shared" si="5"/>
      </c>
      <c r="AK26" s="230">
        <f ca="1" t="shared" si="6"/>
      </c>
      <c r="AL26" s="230">
        <f ca="1" t="shared" si="7"/>
        <v>0</v>
      </c>
      <c r="AM26" s="230">
        <f ca="1" t="shared" si="8"/>
      </c>
      <c r="AN26" s="306">
        <f ca="1" t="shared" si="9"/>
      </c>
      <c r="AO26" s="306">
        <f ca="1" t="shared" si="10"/>
      </c>
      <c r="AP26" s="230" t="e">
        <f>CHOOSE(AH26,FALSE,Data!DV$2,Data!DV$2,Data!DV$2,FALSE,FALSE,Data!DV$2)</f>
        <v>#VALUE!</v>
      </c>
      <c r="AQ26" s="230" t="e">
        <f>CHOOSE(AH26,"Affaires",IF(Data!DP$2="agricole","Agricole","Affaires"),IF(Data!DP$2="Agricole","Industriel",Data!DP$2),IF(Data!DP$2="Agricole","Industriel",Data!DP$2),IF(Data!DP$2="Agricole","Agricole","Affaires"),IF(Data!DP$2="Transport","Transport","Affaires"),IF(Data!DP$2="Agricole","Industriel",Data!DP$2))</f>
        <v>#VALUE!</v>
      </c>
      <c r="AR26" s="230" t="e">
        <f ca="1">IF(C26="Gestion","1151000",IF(AND(C26="Émissions_Fugitives",D26="Optimisation réfrigération"),"1151210",IF(AND(C26="Conversion",D26="Bioénergies"),"1151240",IF(AND(C26="Conversion",D26="Solaires"),"1151202",INDEX(OFFSET(Type_Entreprise,,2,,),MATCH('1. Demande'!AI$76,Type_Entreprise,0))))))</f>
        <v>#N/A</v>
      </c>
    </row>
    <row r="27" spans="1:44" ht="15.75" customHeight="1">
      <c r="A27" s="245"/>
      <c r="B27" s="246"/>
      <c r="C27" s="246" t="s">
        <v>8</v>
      </c>
      <c r="D27" s="246"/>
      <c r="E27" s="246" t="s">
        <v>8</v>
      </c>
      <c r="F27" s="246"/>
      <c r="G27" s="247">
        <f ca="1" t="shared" si="0"/>
      </c>
      <c r="H27" s="248"/>
      <c r="I27" s="249"/>
      <c r="J27" s="246"/>
      <c r="K27" s="250"/>
      <c r="L27" s="249"/>
      <c r="M27" s="251"/>
      <c r="N27" s="252"/>
      <c r="O27" s="253">
        <f ca="1" t="shared" si="11"/>
      </c>
      <c r="P27" s="254">
        <f ca="1" t="shared" si="12"/>
      </c>
      <c r="Q27" s="255">
        <v>0</v>
      </c>
      <c r="R27" s="255">
        <v>0</v>
      </c>
      <c r="S27" s="255">
        <v>0</v>
      </c>
      <c r="T27" s="256"/>
      <c r="U27" s="255"/>
      <c r="V27" s="245" t="s">
        <v>8</v>
      </c>
      <c r="W27" s="257"/>
      <c r="X27" s="257"/>
      <c r="Y27" s="258"/>
      <c r="Z27" s="258"/>
      <c r="AA27" s="245" t="s">
        <v>8</v>
      </c>
      <c r="AB27" s="245"/>
      <c r="AC27" s="245" t="s">
        <v>8</v>
      </c>
      <c r="AD27" s="246"/>
      <c r="AE27" s="245" t="s">
        <v>188</v>
      </c>
      <c r="AF27" s="246"/>
      <c r="AG27" s="259" t="b">
        <f ca="1" t="shared" si="2"/>
        <v>0</v>
      </c>
      <c r="AH27" s="306">
        <f ca="1" t="shared" si="3"/>
      </c>
      <c r="AI27" s="306">
        <f ca="1" t="shared" si="4"/>
      </c>
      <c r="AJ27" s="306">
        <f ca="1" t="shared" si="5"/>
      </c>
      <c r="AK27" s="230">
        <f ca="1" t="shared" si="6"/>
      </c>
      <c r="AL27" s="230">
        <f ca="1" t="shared" si="7"/>
        <v>0</v>
      </c>
      <c r="AM27" s="230">
        <f ca="1" t="shared" si="8"/>
      </c>
      <c r="AN27" s="306">
        <f ca="1" t="shared" si="9"/>
      </c>
      <c r="AO27" s="306">
        <f ca="1" t="shared" si="10"/>
      </c>
      <c r="AP27" s="230" t="e">
        <f>CHOOSE(AH27,FALSE,Data!DV$2,Data!DV$2,Data!DV$2,FALSE,FALSE,Data!DV$2)</f>
        <v>#VALUE!</v>
      </c>
      <c r="AQ27" s="230" t="e">
        <f>CHOOSE(AH27,"Affaires",IF(Data!DP$2="agricole","Agricole","Affaires"),IF(Data!DP$2="Agricole","Industriel",Data!DP$2),IF(Data!DP$2="Agricole","Industriel",Data!DP$2),IF(Data!DP$2="Agricole","Agricole","Affaires"),IF(Data!DP$2="Transport","Transport","Affaires"),IF(Data!DP$2="Agricole","Industriel",Data!DP$2))</f>
        <v>#VALUE!</v>
      </c>
      <c r="AR27" s="230" t="e">
        <f ca="1">IF(C27="Gestion","1151000",IF(AND(C27="Émissions_Fugitives",D27="Optimisation réfrigération"),"1151210",IF(AND(C27="Conversion",D27="Bioénergies"),"1151240",IF(AND(C27="Conversion",D27="Solaires"),"1151202",INDEX(OFFSET(Type_Entreprise,,2,,),MATCH('1. Demande'!AI$76,Type_Entreprise,0))))))</f>
        <v>#N/A</v>
      </c>
    </row>
    <row r="28" spans="1:44" ht="15.75" customHeight="1">
      <c r="A28" s="245"/>
      <c r="B28" s="246"/>
      <c r="C28" s="246" t="s">
        <v>8</v>
      </c>
      <c r="D28" s="246"/>
      <c r="E28" s="246" t="s">
        <v>8</v>
      </c>
      <c r="F28" s="246"/>
      <c r="G28" s="247">
        <f ca="1" t="shared" si="0"/>
      </c>
      <c r="H28" s="248"/>
      <c r="I28" s="249"/>
      <c r="J28" s="246"/>
      <c r="K28" s="250"/>
      <c r="L28" s="249"/>
      <c r="M28" s="251"/>
      <c r="N28" s="252"/>
      <c r="O28" s="253">
        <f ca="1" t="shared" si="11"/>
      </c>
      <c r="P28" s="254">
        <f ca="1" t="shared" si="12"/>
      </c>
      <c r="Q28" s="255">
        <v>0</v>
      </c>
      <c r="R28" s="255">
        <v>0</v>
      </c>
      <c r="S28" s="255">
        <v>0</v>
      </c>
      <c r="T28" s="256"/>
      <c r="U28" s="255"/>
      <c r="V28" s="245" t="s">
        <v>8</v>
      </c>
      <c r="W28" s="257"/>
      <c r="X28" s="257"/>
      <c r="Y28" s="258"/>
      <c r="Z28" s="258"/>
      <c r="AA28" s="245" t="s">
        <v>8</v>
      </c>
      <c r="AB28" s="245"/>
      <c r="AC28" s="245" t="s">
        <v>8</v>
      </c>
      <c r="AD28" s="246"/>
      <c r="AE28" s="245" t="s">
        <v>188</v>
      </c>
      <c r="AF28" s="246"/>
      <c r="AG28" s="259" t="b">
        <f ca="1" t="shared" si="2"/>
        <v>0</v>
      </c>
      <c r="AH28" s="306">
        <f ca="1" t="shared" si="3"/>
      </c>
      <c r="AI28" s="306">
        <f ca="1" t="shared" si="4"/>
      </c>
      <c r="AJ28" s="306">
        <f ca="1" t="shared" si="5"/>
      </c>
      <c r="AK28" s="230">
        <f ca="1" t="shared" si="6"/>
      </c>
      <c r="AL28" s="230">
        <f ca="1" t="shared" si="7"/>
        <v>0</v>
      </c>
      <c r="AM28" s="230">
        <f ca="1" t="shared" si="8"/>
      </c>
      <c r="AN28" s="306">
        <f ca="1" t="shared" si="9"/>
      </c>
      <c r="AO28" s="306">
        <f ca="1" t="shared" si="10"/>
      </c>
      <c r="AP28" s="230" t="e">
        <f>CHOOSE(AH28,FALSE,Data!DV$2,Data!DV$2,Data!DV$2,FALSE,FALSE,Data!DV$2)</f>
        <v>#VALUE!</v>
      </c>
      <c r="AQ28" s="230" t="e">
        <f>CHOOSE(AH28,"Affaires",IF(Data!DP$2="agricole","Agricole","Affaires"),IF(Data!DP$2="Agricole","Industriel",Data!DP$2),IF(Data!DP$2="Agricole","Industriel",Data!DP$2),IF(Data!DP$2="Agricole","Agricole","Affaires"),IF(Data!DP$2="Transport","Transport","Affaires"),IF(Data!DP$2="Agricole","Industriel",Data!DP$2))</f>
        <v>#VALUE!</v>
      </c>
      <c r="AR28" s="230" t="e">
        <f ca="1">IF(C28="Gestion","1151000",IF(AND(C28="Émissions_Fugitives",D28="Optimisation réfrigération"),"1151210",IF(AND(C28="Conversion",D28="Bioénergies"),"1151240",IF(AND(C28="Conversion",D28="Solaires"),"1151202",INDEX(OFFSET(Type_Entreprise,,2,,),MATCH('1. Demande'!AI$76,Type_Entreprise,0))))))</f>
        <v>#N/A</v>
      </c>
    </row>
    <row r="29" spans="1:44" ht="15.75" customHeight="1">
      <c r="A29" s="245"/>
      <c r="B29" s="246"/>
      <c r="C29" s="246" t="s">
        <v>8</v>
      </c>
      <c r="D29" s="246"/>
      <c r="E29" s="246" t="s">
        <v>8</v>
      </c>
      <c r="F29" s="246"/>
      <c r="G29" s="247">
        <f ca="1" t="shared" si="0"/>
      </c>
      <c r="H29" s="248"/>
      <c r="I29" s="249"/>
      <c r="J29" s="246"/>
      <c r="K29" s="250"/>
      <c r="L29" s="249"/>
      <c r="M29" s="251"/>
      <c r="N29" s="252"/>
      <c r="O29" s="253">
        <f ca="1" t="shared" si="11"/>
      </c>
      <c r="P29" s="254">
        <f ca="1" t="shared" si="12"/>
      </c>
      <c r="Q29" s="255">
        <v>0</v>
      </c>
      <c r="R29" s="255">
        <v>0</v>
      </c>
      <c r="S29" s="255">
        <v>0</v>
      </c>
      <c r="T29" s="256"/>
      <c r="U29" s="255"/>
      <c r="V29" s="245" t="s">
        <v>8</v>
      </c>
      <c r="W29" s="257"/>
      <c r="X29" s="257"/>
      <c r="Y29" s="258"/>
      <c r="Z29" s="258"/>
      <c r="AA29" s="245" t="s">
        <v>8</v>
      </c>
      <c r="AB29" s="245"/>
      <c r="AC29" s="245" t="s">
        <v>8</v>
      </c>
      <c r="AD29" s="246"/>
      <c r="AE29" s="245" t="s">
        <v>188</v>
      </c>
      <c r="AF29" s="246"/>
      <c r="AG29" s="259" t="b">
        <f ca="1" t="shared" si="2"/>
        <v>0</v>
      </c>
      <c r="AH29" s="306">
        <f ca="1" t="shared" si="3"/>
      </c>
      <c r="AI29" s="306">
        <f ca="1" t="shared" si="4"/>
      </c>
      <c r="AJ29" s="306">
        <f ca="1" t="shared" si="5"/>
      </c>
      <c r="AK29" s="230">
        <f ca="1" t="shared" si="6"/>
      </c>
      <c r="AL29" s="230">
        <f ca="1" t="shared" si="7"/>
        <v>0</v>
      </c>
      <c r="AM29" s="230">
        <f ca="1" t="shared" si="8"/>
      </c>
      <c r="AN29" s="306">
        <f ca="1" t="shared" si="9"/>
      </c>
      <c r="AO29" s="306">
        <f ca="1" t="shared" si="10"/>
      </c>
      <c r="AP29" s="230" t="e">
        <f>CHOOSE(AH29,FALSE,Data!DV$2,Data!DV$2,Data!DV$2,FALSE,FALSE,Data!DV$2)</f>
        <v>#VALUE!</v>
      </c>
      <c r="AQ29" s="230" t="e">
        <f>CHOOSE(AH29,"Affaires",IF(Data!DP$2="agricole","Agricole","Affaires"),IF(Data!DP$2="Agricole","Industriel",Data!DP$2),IF(Data!DP$2="Agricole","Industriel",Data!DP$2),IF(Data!DP$2="Agricole","Agricole","Affaires"),IF(Data!DP$2="Transport","Transport","Affaires"),IF(Data!DP$2="Agricole","Industriel",Data!DP$2))</f>
        <v>#VALUE!</v>
      </c>
      <c r="AR29" s="230" t="e">
        <f ca="1">IF(C29="Gestion","1151000",IF(AND(C29="Émissions_Fugitives",D29="Optimisation réfrigération"),"1151210",IF(AND(C29="Conversion",D29="Bioénergies"),"1151240",IF(AND(C29="Conversion",D29="Solaires"),"1151202",INDEX(OFFSET(Type_Entreprise,,2,,),MATCH('1. Demande'!AI$76,Type_Entreprise,0))))))</f>
        <v>#N/A</v>
      </c>
    </row>
    <row r="30" spans="1:44" ht="15.75" customHeight="1">
      <c r="A30" s="245"/>
      <c r="B30" s="246"/>
      <c r="C30" s="246" t="s">
        <v>8</v>
      </c>
      <c r="D30" s="246"/>
      <c r="E30" s="246" t="s">
        <v>8</v>
      </c>
      <c r="F30" s="246"/>
      <c r="G30" s="247">
        <f ca="1" t="shared" si="0"/>
      </c>
      <c r="H30" s="248"/>
      <c r="I30" s="249"/>
      <c r="J30" s="246"/>
      <c r="K30" s="250"/>
      <c r="L30" s="249"/>
      <c r="M30" s="251"/>
      <c r="N30" s="252"/>
      <c r="O30" s="253">
        <f ca="1" t="shared" si="11"/>
      </c>
      <c r="P30" s="254">
        <f ca="1" t="shared" si="12"/>
      </c>
      <c r="Q30" s="255">
        <v>0</v>
      </c>
      <c r="R30" s="255">
        <v>0</v>
      </c>
      <c r="S30" s="255">
        <v>0</v>
      </c>
      <c r="T30" s="256"/>
      <c r="U30" s="255"/>
      <c r="V30" s="245" t="s">
        <v>8</v>
      </c>
      <c r="W30" s="257"/>
      <c r="X30" s="257"/>
      <c r="Y30" s="258"/>
      <c r="Z30" s="258"/>
      <c r="AA30" s="245" t="s">
        <v>8</v>
      </c>
      <c r="AB30" s="245"/>
      <c r="AC30" s="245" t="s">
        <v>8</v>
      </c>
      <c r="AD30" s="246"/>
      <c r="AE30" s="245" t="s">
        <v>188</v>
      </c>
      <c r="AF30" s="246"/>
      <c r="AG30" s="259" t="b">
        <f ca="1" t="shared" si="2"/>
        <v>0</v>
      </c>
      <c r="AH30" s="306">
        <f ca="1" t="shared" si="3"/>
      </c>
      <c r="AI30" s="306">
        <f ca="1" t="shared" si="4"/>
      </c>
      <c r="AJ30" s="306">
        <f ca="1" t="shared" si="5"/>
      </c>
      <c r="AK30" s="230">
        <f ca="1" t="shared" si="6"/>
      </c>
      <c r="AL30" s="230">
        <f ca="1" t="shared" si="7"/>
        <v>0</v>
      </c>
      <c r="AM30" s="230">
        <f ca="1" t="shared" si="8"/>
      </c>
      <c r="AN30" s="306">
        <f ca="1" t="shared" si="9"/>
      </c>
      <c r="AO30" s="306">
        <f ca="1" t="shared" si="10"/>
      </c>
      <c r="AP30" s="230" t="e">
        <f>CHOOSE(AH30,FALSE,Data!DV$2,Data!DV$2,Data!DV$2,FALSE,FALSE,Data!DV$2)</f>
        <v>#VALUE!</v>
      </c>
      <c r="AQ30" s="230" t="e">
        <f>CHOOSE(AH30,"Affaires",IF(Data!DP$2="agricole","Agricole","Affaires"),IF(Data!DP$2="Agricole","Industriel",Data!DP$2),IF(Data!DP$2="Agricole","Industriel",Data!DP$2),IF(Data!DP$2="Agricole","Agricole","Affaires"),IF(Data!DP$2="Transport","Transport","Affaires"),IF(Data!DP$2="Agricole","Industriel",Data!DP$2))</f>
        <v>#VALUE!</v>
      </c>
      <c r="AR30" s="230" t="e">
        <f ca="1">IF(C30="Gestion","1151000",IF(AND(C30="Émissions_Fugitives",D30="Optimisation réfrigération"),"1151210",IF(AND(C30="Conversion",D30="Bioénergies"),"1151240",IF(AND(C30="Conversion",D30="Solaires"),"1151202",INDEX(OFFSET(Type_Entreprise,,2,,),MATCH('1. Demande'!AI$76,Type_Entreprise,0))))))</f>
        <v>#N/A</v>
      </c>
    </row>
    <row r="31" spans="1:44" ht="15.75" customHeight="1">
      <c r="A31" s="245"/>
      <c r="B31" s="246"/>
      <c r="C31" s="246" t="s">
        <v>8</v>
      </c>
      <c r="D31" s="246"/>
      <c r="E31" s="246" t="s">
        <v>8</v>
      </c>
      <c r="F31" s="246"/>
      <c r="G31" s="247">
        <f ca="1" t="shared" si="0"/>
      </c>
      <c r="H31" s="248"/>
      <c r="I31" s="249"/>
      <c r="J31" s="246"/>
      <c r="K31" s="250"/>
      <c r="L31" s="249"/>
      <c r="M31" s="251"/>
      <c r="N31" s="252"/>
      <c r="O31" s="253">
        <f ca="1" t="shared" si="11"/>
      </c>
      <c r="P31" s="254">
        <f ca="1" t="shared" si="12"/>
      </c>
      <c r="Q31" s="255">
        <v>0</v>
      </c>
      <c r="R31" s="255">
        <v>0</v>
      </c>
      <c r="S31" s="255">
        <v>0</v>
      </c>
      <c r="T31" s="256"/>
      <c r="U31" s="255"/>
      <c r="V31" s="245" t="s">
        <v>8</v>
      </c>
      <c r="W31" s="257"/>
      <c r="X31" s="257"/>
      <c r="Y31" s="258"/>
      <c r="Z31" s="258"/>
      <c r="AA31" s="245" t="s">
        <v>8</v>
      </c>
      <c r="AB31" s="245"/>
      <c r="AC31" s="245" t="s">
        <v>8</v>
      </c>
      <c r="AD31" s="246"/>
      <c r="AE31" s="245" t="s">
        <v>188</v>
      </c>
      <c r="AF31" s="246"/>
      <c r="AG31" s="259" t="b">
        <f ca="1" t="shared" si="2"/>
        <v>0</v>
      </c>
      <c r="AH31" s="306">
        <f ca="1" t="shared" si="3"/>
      </c>
      <c r="AI31" s="306">
        <f ca="1" t="shared" si="4"/>
      </c>
      <c r="AJ31" s="306">
        <f ca="1" t="shared" si="5"/>
      </c>
      <c r="AK31" s="230">
        <f ca="1" t="shared" si="6"/>
      </c>
      <c r="AL31" s="230">
        <f ca="1" t="shared" si="7"/>
        <v>0</v>
      </c>
      <c r="AM31" s="230">
        <f ca="1" t="shared" si="8"/>
      </c>
      <c r="AN31" s="306">
        <f ca="1" t="shared" si="9"/>
      </c>
      <c r="AO31" s="306">
        <f ca="1" t="shared" si="10"/>
      </c>
      <c r="AP31" s="230" t="e">
        <f>CHOOSE(AH31,FALSE,Data!DV$2,Data!DV$2,Data!DV$2,FALSE,FALSE,Data!DV$2)</f>
        <v>#VALUE!</v>
      </c>
      <c r="AQ31" s="230" t="e">
        <f>CHOOSE(AH31,"Affaires",IF(Data!DP$2="agricole","Agricole","Affaires"),IF(Data!DP$2="Agricole","Industriel",Data!DP$2),IF(Data!DP$2="Agricole","Industriel",Data!DP$2),IF(Data!DP$2="Agricole","Agricole","Affaires"),IF(Data!DP$2="Transport","Transport","Affaires"),IF(Data!DP$2="Agricole","Industriel",Data!DP$2))</f>
        <v>#VALUE!</v>
      </c>
      <c r="AR31" s="230" t="e">
        <f ca="1">IF(C31="Gestion","1151000",IF(AND(C31="Émissions_Fugitives",D31="Optimisation réfrigération"),"1151210",IF(AND(C31="Conversion",D31="Bioénergies"),"1151240",IF(AND(C31="Conversion",D31="Solaires"),"1151202",INDEX(OFFSET(Type_Entreprise,,2,,),MATCH('1. Demande'!AI$76,Type_Entreprise,0))))))</f>
        <v>#N/A</v>
      </c>
    </row>
    <row r="32" spans="1:44" ht="15.75" customHeight="1">
      <c r="A32" s="245"/>
      <c r="B32" s="246"/>
      <c r="C32" s="246" t="s">
        <v>8</v>
      </c>
      <c r="D32" s="246"/>
      <c r="E32" s="246" t="s">
        <v>8</v>
      </c>
      <c r="F32" s="246"/>
      <c r="G32" s="247">
        <f ca="1" t="shared" si="0"/>
      </c>
      <c r="H32" s="248"/>
      <c r="I32" s="249"/>
      <c r="J32" s="246"/>
      <c r="K32" s="250"/>
      <c r="L32" s="249"/>
      <c r="M32" s="251"/>
      <c r="N32" s="252"/>
      <c r="O32" s="253">
        <f ca="1" t="shared" si="11"/>
      </c>
      <c r="P32" s="254">
        <f ca="1" t="shared" si="12"/>
      </c>
      <c r="Q32" s="255">
        <v>0</v>
      </c>
      <c r="R32" s="255">
        <v>0</v>
      </c>
      <c r="S32" s="255">
        <v>0</v>
      </c>
      <c r="T32" s="256"/>
      <c r="U32" s="255"/>
      <c r="V32" s="245" t="s">
        <v>8</v>
      </c>
      <c r="W32" s="257"/>
      <c r="X32" s="257"/>
      <c r="Y32" s="258"/>
      <c r="Z32" s="258"/>
      <c r="AA32" s="245" t="s">
        <v>8</v>
      </c>
      <c r="AB32" s="245"/>
      <c r="AC32" s="245" t="s">
        <v>8</v>
      </c>
      <c r="AD32" s="246"/>
      <c r="AE32" s="245" t="s">
        <v>188</v>
      </c>
      <c r="AF32" s="246"/>
      <c r="AG32" s="259" t="b">
        <f ca="1" t="shared" si="2"/>
        <v>0</v>
      </c>
      <c r="AH32" s="306">
        <f ca="1" t="shared" si="3"/>
      </c>
      <c r="AI32" s="306">
        <f ca="1" t="shared" si="4"/>
      </c>
      <c r="AJ32" s="306">
        <f ca="1" t="shared" si="5"/>
      </c>
      <c r="AK32" s="230">
        <f ca="1" t="shared" si="6"/>
      </c>
      <c r="AL32" s="230">
        <f ca="1" t="shared" si="7"/>
        <v>0</v>
      </c>
      <c r="AM32" s="230">
        <f ca="1" t="shared" si="8"/>
      </c>
      <c r="AN32" s="306">
        <f ca="1" t="shared" si="9"/>
      </c>
      <c r="AO32" s="306">
        <f ca="1" t="shared" si="10"/>
      </c>
      <c r="AP32" s="230" t="e">
        <f>CHOOSE(AH32,FALSE,Data!DV$2,Data!DV$2,Data!DV$2,FALSE,FALSE,Data!DV$2)</f>
        <v>#VALUE!</v>
      </c>
      <c r="AQ32" s="230" t="e">
        <f>CHOOSE(AH32,"Affaires",IF(Data!DP$2="agricole","Agricole","Affaires"),IF(Data!DP$2="Agricole","Industriel",Data!DP$2),IF(Data!DP$2="Agricole","Industriel",Data!DP$2),IF(Data!DP$2="Agricole","Agricole","Affaires"),IF(Data!DP$2="Transport","Transport","Affaires"),IF(Data!DP$2="Agricole","Industriel",Data!DP$2))</f>
        <v>#VALUE!</v>
      </c>
      <c r="AR32" s="230" t="e">
        <f ca="1">IF(C32="Gestion","1151000",IF(AND(C32="Émissions_Fugitives",D32="Optimisation réfrigération"),"1151210",IF(AND(C32="Conversion",D32="Bioénergies"),"1151240",IF(AND(C32="Conversion",D32="Solaires"),"1151202",INDEX(OFFSET(Type_Entreprise,,2,,),MATCH('1. Demande'!AI$76,Type_Entreprise,0))))))</f>
        <v>#N/A</v>
      </c>
    </row>
    <row r="33" spans="1:44" ht="15.75" customHeight="1">
      <c r="A33" s="245"/>
      <c r="B33" s="246"/>
      <c r="C33" s="246" t="s">
        <v>8</v>
      </c>
      <c r="D33" s="246"/>
      <c r="E33" s="246" t="s">
        <v>8</v>
      </c>
      <c r="F33" s="246"/>
      <c r="G33" s="247">
        <f ca="1" t="shared" si="0"/>
      </c>
      <c r="H33" s="248"/>
      <c r="I33" s="249"/>
      <c r="J33" s="246"/>
      <c r="K33" s="250"/>
      <c r="L33" s="249"/>
      <c r="M33" s="251"/>
      <c r="N33" s="252"/>
      <c r="O33" s="253">
        <f ca="1" t="shared" si="11"/>
      </c>
      <c r="P33" s="254">
        <f ca="1" t="shared" si="12"/>
      </c>
      <c r="Q33" s="255">
        <v>0</v>
      </c>
      <c r="R33" s="255">
        <v>0</v>
      </c>
      <c r="S33" s="255">
        <v>0</v>
      </c>
      <c r="T33" s="256"/>
      <c r="U33" s="255"/>
      <c r="V33" s="245" t="s">
        <v>8</v>
      </c>
      <c r="W33" s="257"/>
      <c r="X33" s="257"/>
      <c r="Y33" s="258"/>
      <c r="Z33" s="258"/>
      <c r="AA33" s="245" t="s">
        <v>8</v>
      </c>
      <c r="AB33" s="245"/>
      <c r="AC33" s="245" t="s">
        <v>8</v>
      </c>
      <c r="AD33" s="246"/>
      <c r="AE33" s="245" t="s">
        <v>188</v>
      </c>
      <c r="AF33" s="246"/>
      <c r="AG33" s="259" t="b">
        <f ca="1" t="shared" si="2"/>
        <v>0</v>
      </c>
      <c r="AH33" s="306">
        <f ca="1" t="shared" si="3"/>
      </c>
      <c r="AI33" s="306">
        <f ca="1" t="shared" si="4"/>
      </c>
      <c r="AJ33" s="306">
        <f ca="1" t="shared" si="5"/>
      </c>
      <c r="AK33" s="230">
        <f ca="1" t="shared" si="6"/>
      </c>
      <c r="AL33" s="230">
        <f ca="1" t="shared" si="7"/>
        <v>0</v>
      </c>
      <c r="AM33" s="230">
        <f ca="1" t="shared" si="8"/>
      </c>
      <c r="AN33" s="306">
        <f ca="1" t="shared" si="9"/>
      </c>
      <c r="AO33" s="306">
        <f ca="1" t="shared" si="10"/>
      </c>
      <c r="AP33" s="230" t="e">
        <f>CHOOSE(AH33,FALSE,Data!DV$2,Data!DV$2,Data!DV$2,FALSE,FALSE,Data!DV$2)</f>
        <v>#VALUE!</v>
      </c>
      <c r="AQ33" s="230" t="e">
        <f>CHOOSE(AH33,"Affaires",IF(Data!DP$2="agricole","Agricole","Affaires"),IF(Data!DP$2="Agricole","Industriel",Data!DP$2),IF(Data!DP$2="Agricole","Industriel",Data!DP$2),IF(Data!DP$2="Agricole","Agricole","Affaires"),IF(Data!DP$2="Transport","Transport","Affaires"),IF(Data!DP$2="Agricole","Industriel",Data!DP$2))</f>
        <v>#VALUE!</v>
      </c>
      <c r="AR33" s="230" t="e">
        <f ca="1">IF(C33="Gestion","1151000",IF(AND(C33="Émissions_Fugitives",D33="Optimisation réfrigération"),"1151210",IF(AND(C33="Conversion",D33="Bioénergies"),"1151240",IF(AND(C33="Conversion",D33="Solaires"),"1151202",INDEX(OFFSET(Type_Entreprise,,2,,),MATCH('1. Demande'!AI$76,Type_Entreprise,0))))))</f>
        <v>#N/A</v>
      </c>
    </row>
    <row r="34" spans="1:44" ht="15.75" customHeight="1">
      <c r="A34" s="245"/>
      <c r="B34" s="246"/>
      <c r="C34" s="246" t="s">
        <v>8</v>
      </c>
      <c r="D34" s="246"/>
      <c r="E34" s="246" t="s">
        <v>8</v>
      </c>
      <c r="F34" s="246"/>
      <c r="G34" s="247">
        <f ca="1" t="shared" si="0"/>
      </c>
      <c r="H34" s="248"/>
      <c r="I34" s="249"/>
      <c r="J34" s="246"/>
      <c r="K34" s="250"/>
      <c r="L34" s="249"/>
      <c r="M34" s="251"/>
      <c r="N34" s="252"/>
      <c r="O34" s="253">
        <f ca="1" t="shared" si="11"/>
      </c>
      <c r="P34" s="254">
        <f ca="1" t="shared" si="12"/>
      </c>
      <c r="Q34" s="255">
        <v>0</v>
      </c>
      <c r="R34" s="255">
        <v>0</v>
      </c>
      <c r="S34" s="255">
        <v>0</v>
      </c>
      <c r="T34" s="256"/>
      <c r="U34" s="255"/>
      <c r="V34" s="245" t="s">
        <v>8</v>
      </c>
      <c r="W34" s="257"/>
      <c r="X34" s="257"/>
      <c r="Y34" s="258"/>
      <c r="Z34" s="258"/>
      <c r="AA34" s="245" t="s">
        <v>8</v>
      </c>
      <c r="AB34" s="245"/>
      <c r="AC34" s="245" t="s">
        <v>8</v>
      </c>
      <c r="AD34" s="246"/>
      <c r="AE34" s="245" t="s">
        <v>188</v>
      </c>
      <c r="AF34" s="246"/>
      <c r="AG34" s="259" t="b">
        <f ca="1" t="shared" si="2"/>
        <v>0</v>
      </c>
      <c r="AH34" s="306">
        <f ca="1" t="shared" si="3"/>
      </c>
      <c r="AI34" s="306">
        <f ca="1" t="shared" si="4"/>
      </c>
      <c r="AJ34" s="306">
        <f ca="1" t="shared" si="5"/>
      </c>
      <c r="AK34" s="230">
        <f ca="1" t="shared" si="6"/>
      </c>
      <c r="AL34" s="230">
        <f ca="1" t="shared" si="7"/>
        <v>0</v>
      </c>
      <c r="AM34" s="230">
        <f ca="1" t="shared" si="8"/>
      </c>
      <c r="AN34" s="306">
        <f ca="1" t="shared" si="9"/>
      </c>
      <c r="AO34" s="306">
        <f ca="1" t="shared" si="10"/>
      </c>
      <c r="AP34" s="230" t="e">
        <f>CHOOSE(AH34,FALSE,Data!DV$2,Data!DV$2,Data!DV$2,FALSE,FALSE,Data!DV$2)</f>
        <v>#VALUE!</v>
      </c>
      <c r="AQ34" s="230" t="e">
        <f>CHOOSE(AH34,"Affaires",IF(Data!DP$2="agricole","Agricole","Affaires"),IF(Data!DP$2="Agricole","Industriel",Data!DP$2),IF(Data!DP$2="Agricole","Industriel",Data!DP$2),IF(Data!DP$2="Agricole","Agricole","Affaires"),IF(Data!DP$2="Transport","Transport","Affaires"),IF(Data!DP$2="Agricole","Industriel",Data!DP$2))</f>
        <v>#VALUE!</v>
      </c>
      <c r="AR34" s="230" t="e">
        <f ca="1">IF(C34="Gestion","1151000",IF(AND(C34="Émissions_Fugitives",D34="Optimisation réfrigération"),"1151210",IF(AND(C34="Conversion",D34="Bioénergies"),"1151240",IF(AND(C34="Conversion",D34="Solaires"),"1151202",INDEX(OFFSET(Type_Entreprise,,2,,),MATCH('1. Demande'!AI$76,Type_Entreprise,0))))))</f>
        <v>#N/A</v>
      </c>
    </row>
    <row r="35" spans="1:44" ht="15.75" customHeight="1">
      <c r="A35" s="245"/>
      <c r="B35" s="246"/>
      <c r="C35" s="246" t="s">
        <v>8</v>
      </c>
      <c r="D35" s="246"/>
      <c r="E35" s="246" t="s">
        <v>8</v>
      </c>
      <c r="F35" s="246"/>
      <c r="G35" s="247">
        <f ca="1" t="shared" si="0"/>
      </c>
      <c r="H35" s="248"/>
      <c r="I35" s="249"/>
      <c r="J35" s="246"/>
      <c r="K35" s="250"/>
      <c r="L35" s="249"/>
      <c r="M35" s="251"/>
      <c r="N35" s="252"/>
      <c r="O35" s="253">
        <f ca="1" t="shared" si="11"/>
      </c>
      <c r="P35" s="254">
        <f ca="1" t="shared" si="12"/>
      </c>
      <c r="Q35" s="255">
        <v>0</v>
      </c>
      <c r="R35" s="255">
        <v>0</v>
      </c>
      <c r="S35" s="255">
        <v>0</v>
      </c>
      <c r="T35" s="256"/>
      <c r="U35" s="255"/>
      <c r="V35" s="245" t="s">
        <v>8</v>
      </c>
      <c r="W35" s="257"/>
      <c r="X35" s="257"/>
      <c r="Y35" s="258"/>
      <c r="Z35" s="258"/>
      <c r="AA35" s="245" t="s">
        <v>8</v>
      </c>
      <c r="AB35" s="245"/>
      <c r="AC35" s="245" t="s">
        <v>8</v>
      </c>
      <c r="AD35" s="246"/>
      <c r="AE35" s="245" t="s">
        <v>188</v>
      </c>
      <c r="AF35" s="246"/>
      <c r="AG35" s="259" t="b">
        <f ca="1" t="shared" si="2"/>
        <v>0</v>
      </c>
      <c r="AH35" s="306">
        <f ca="1" t="shared" si="3"/>
      </c>
      <c r="AI35" s="306">
        <f ca="1" t="shared" si="4"/>
      </c>
      <c r="AJ35" s="306">
        <f ca="1" t="shared" si="5"/>
      </c>
      <c r="AK35" s="230">
        <f ca="1" t="shared" si="6"/>
      </c>
      <c r="AL35" s="230">
        <f ca="1" t="shared" si="7"/>
        <v>0</v>
      </c>
      <c r="AM35" s="230">
        <f ca="1" t="shared" si="8"/>
      </c>
      <c r="AN35" s="306">
        <f ca="1" t="shared" si="9"/>
      </c>
      <c r="AO35" s="306">
        <f ca="1" t="shared" si="10"/>
      </c>
      <c r="AP35" s="230" t="e">
        <f>CHOOSE(AH35,FALSE,Data!DV$2,Data!DV$2,Data!DV$2,FALSE,FALSE,Data!DV$2)</f>
        <v>#VALUE!</v>
      </c>
      <c r="AQ35" s="230" t="e">
        <f>CHOOSE(AH35,"Affaires",IF(Data!DP$2="agricole","Agricole","Affaires"),IF(Data!DP$2="Agricole","Industriel",Data!DP$2),IF(Data!DP$2="Agricole","Industriel",Data!DP$2),IF(Data!DP$2="Agricole","Agricole","Affaires"),IF(Data!DP$2="Transport","Transport","Affaires"),IF(Data!DP$2="Agricole","Industriel",Data!DP$2))</f>
        <v>#VALUE!</v>
      </c>
      <c r="AR35" s="230" t="e">
        <f ca="1">IF(C35="Gestion","1151000",IF(AND(C35="Émissions_Fugitives",D35="Optimisation réfrigération"),"1151210",IF(AND(C35="Conversion",D35="Bioénergies"),"1151240",IF(AND(C35="Conversion",D35="Solaires"),"1151202",INDEX(OFFSET(Type_Entreprise,,2,,),MATCH('1. Demande'!AI$76,Type_Entreprise,0))))))</f>
        <v>#N/A</v>
      </c>
    </row>
    <row r="36" spans="1:44" ht="15.75" customHeight="1">
      <c r="A36" s="245"/>
      <c r="B36" s="246"/>
      <c r="C36" s="246" t="s">
        <v>8</v>
      </c>
      <c r="D36" s="246"/>
      <c r="E36" s="246" t="s">
        <v>8</v>
      </c>
      <c r="F36" s="246"/>
      <c r="G36" s="247">
        <f ca="1" t="shared" si="0"/>
      </c>
      <c r="H36" s="248"/>
      <c r="I36" s="249"/>
      <c r="J36" s="246"/>
      <c r="K36" s="250"/>
      <c r="L36" s="249"/>
      <c r="M36" s="251"/>
      <c r="N36" s="252"/>
      <c r="O36" s="253">
        <f ca="1" t="shared" si="11"/>
      </c>
      <c r="P36" s="254">
        <f ca="1" t="shared" si="12"/>
      </c>
      <c r="Q36" s="255">
        <v>0</v>
      </c>
      <c r="R36" s="255">
        <v>0</v>
      </c>
      <c r="S36" s="255">
        <v>0</v>
      </c>
      <c r="T36" s="256"/>
      <c r="U36" s="255"/>
      <c r="V36" s="245" t="s">
        <v>8</v>
      </c>
      <c r="W36" s="257"/>
      <c r="X36" s="257"/>
      <c r="Y36" s="258"/>
      <c r="Z36" s="258"/>
      <c r="AA36" s="245" t="s">
        <v>8</v>
      </c>
      <c r="AB36" s="245"/>
      <c r="AC36" s="245" t="s">
        <v>8</v>
      </c>
      <c r="AD36" s="246"/>
      <c r="AE36" s="245" t="s">
        <v>188</v>
      </c>
      <c r="AF36" s="246"/>
      <c r="AG36" s="259" t="b">
        <f ca="1" t="shared" si="2"/>
        <v>0</v>
      </c>
      <c r="AH36" s="306">
        <f ca="1" t="shared" si="3"/>
      </c>
      <c r="AI36" s="306">
        <f ca="1" t="shared" si="4"/>
      </c>
      <c r="AJ36" s="306">
        <f ca="1" t="shared" si="5"/>
      </c>
      <c r="AK36" s="230">
        <f ca="1" t="shared" si="6"/>
      </c>
      <c r="AL36" s="230">
        <f ca="1" t="shared" si="7"/>
        <v>0</v>
      </c>
      <c r="AM36" s="230">
        <f ca="1" t="shared" si="8"/>
      </c>
      <c r="AN36" s="306">
        <f ca="1" t="shared" si="9"/>
      </c>
      <c r="AO36" s="306">
        <f ca="1" t="shared" si="10"/>
      </c>
      <c r="AP36" s="230" t="e">
        <f>CHOOSE(AH36,FALSE,Data!DV$2,Data!DV$2,Data!DV$2,FALSE,FALSE,Data!DV$2)</f>
        <v>#VALUE!</v>
      </c>
      <c r="AQ36" s="230" t="e">
        <f>CHOOSE(AH36,"Affaires",IF(Data!DP$2="agricole","Agricole","Affaires"),IF(Data!DP$2="Agricole","Industriel",Data!DP$2),IF(Data!DP$2="Agricole","Industriel",Data!DP$2),IF(Data!DP$2="Agricole","Agricole","Affaires"),IF(Data!DP$2="Transport","Transport","Affaires"),IF(Data!DP$2="Agricole","Industriel",Data!DP$2))</f>
        <v>#VALUE!</v>
      </c>
      <c r="AR36" s="230" t="e">
        <f ca="1">IF(C36="Gestion","1151000",IF(AND(C36="Émissions_Fugitives",D36="Optimisation réfrigération"),"1151210",IF(AND(C36="Conversion",D36="Bioénergies"),"1151240",IF(AND(C36="Conversion",D36="Solaires"),"1151202",INDEX(OFFSET(Type_Entreprise,,2,,),MATCH('1. Demande'!AI$76,Type_Entreprise,0))))))</f>
        <v>#N/A</v>
      </c>
    </row>
    <row r="37" spans="1:44" ht="15.75" customHeight="1">
      <c r="A37" s="245"/>
      <c r="B37" s="246"/>
      <c r="C37" s="246" t="s">
        <v>8</v>
      </c>
      <c r="D37" s="246"/>
      <c r="E37" s="246" t="s">
        <v>8</v>
      </c>
      <c r="F37" s="246"/>
      <c r="G37" s="247">
        <f ca="1" t="shared" si="0"/>
      </c>
      <c r="H37" s="248"/>
      <c r="I37" s="249"/>
      <c r="J37" s="246"/>
      <c r="K37" s="250"/>
      <c r="L37" s="249"/>
      <c r="M37" s="251"/>
      <c r="N37" s="252"/>
      <c r="O37" s="253">
        <f ca="1" t="shared" si="11"/>
      </c>
      <c r="P37" s="254">
        <f ca="1" t="shared" si="12"/>
      </c>
      <c r="Q37" s="255">
        <v>0</v>
      </c>
      <c r="R37" s="255">
        <v>0</v>
      </c>
      <c r="S37" s="255">
        <v>0</v>
      </c>
      <c r="T37" s="256"/>
      <c r="U37" s="255"/>
      <c r="V37" s="245" t="s">
        <v>8</v>
      </c>
      <c r="W37" s="257"/>
      <c r="X37" s="257"/>
      <c r="Y37" s="258"/>
      <c r="Z37" s="258"/>
      <c r="AA37" s="245" t="s">
        <v>8</v>
      </c>
      <c r="AB37" s="245"/>
      <c r="AC37" s="245" t="s">
        <v>8</v>
      </c>
      <c r="AD37" s="246"/>
      <c r="AE37" s="245" t="s">
        <v>188</v>
      </c>
      <c r="AF37" s="246"/>
      <c r="AG37" s="259" t="b">
        <f ca="1" t="shared" si="2"/>
        <v>0</v>
      </c>
      <c r="AH37" s="306">
        <f ca="1" t="shared" si="3"/>
      </c>
      <c r="AI37" s="306">
        <f ca="1" t="shared" si="4"/>
      </c>
      <c r="AJ37" s="306">
        <f ca="1" t="shared" si="5"/>
      </c>
      <c r="AK37" s="230">
        <f ca="1" t="shared" si="6"/>
      </c>
      <c r="AL37" s="230">
        <f ca="1" t="shared" si="7"/>
        <v>0</v>
      </c>
      <c r="AM37" s="230">
        <f ca="1" t="shared" si="8"/>
      </c>
      <c r="AN37" s="306">
        <f ca="1" t="shared" si="9"/>
      </c>
      <c r="AO37" s="306">
        <f ca="1" t="shared" si="10"/>
      </c>
      <c r="AP37" s="230" t="e">
        <f>CHOOSE(AH37,FALSE,Data!DV$2,Data!DV$2,Data!DV$2,FALSE,FALSE,Data!DV$2)</f>
        <v>#VALUE!</v>
      </c>
      <c r="AQ37" s="230" t="e">
        <f>CHOOSE(AH37,"Affaires",IF(Data!DP$2="agricole","Agricole","Affaires"),IF(Data!DP$2="Agricole","Industriel",Data!DP$2),IF(Data!DP$2="Agricole","Industriel",Data!DP$2),IF(Data!DP$2="Agricole","Agricole","Affaires"),IF(Data!DP$2="Transport","Transport","Affaires"),IF(Data!DP$2="Agricole","Industriel",Data!DP$2))</f>
        <v>#VALUE!</v>
      </c>
      <c r="AR37" s="230" t="e">
        <f ca="1">IF(C37="Gestion","1151000",IF(AND(C37="Émissions_Fugitives",D37="Optimisation réfrigération"),"1151210",IF(AND(C37="Conversion",D37="Bioénergies"),"1151240",IF(AND(C37="Conversion",D37="Solaires"),"1151202",INDEX(OFFSET(Type_Entreprise,,2,,),MATCH('1. Demande'!AI$76,Type_Entreprise,0))))))</f>
        <v>#N/A</v>
      </c>
    </row>
    <row r="38" spans="1:44" ht="15.75" customHeight="1">
      <c r="A38" s="245"/>
      <c r="B38" s="246"/>
      <c r="C38" s="246" t="s">
        <v>8</v>
      </c>
      <c r="D38" s="246"/>
      <c r="E38" s="246" t="s">
        <v>8</v>
      </c>
      <c r="F38" s="246"/>
      <c r="G38" s="247">
        <f ca="1" t="shared" si="0"/>
      </c>
      <c r="H38" s="248"/>
      <c r="I38" s="249"/>
      <c r="J38" s="246"/>
      <c r="K38" s="250"/>
      <c r="L38" s="249"/>
      <c r="M38" s="251"/>
      <c r="N38" s="252"/>
      <c r="O38" s="253">
        <f ca="1" t="shared" si="11"/>
      </c>
      <c r="P38" s="254">
        <f ca="1" t="shared" si="12"/>
      </c>
      <c r="Q38" s="255">
        <v>0</v>
      </c>
      <c r="R38" s="255">
        <v>0</v>
      </c>
      <c r="S38" s="255">
        <v>0</v>
      </c>
      <c r="T38" s="256"/>
      <c r="U38" s="255"/>
      <c r="V38" s="245" t="s">
        <v>8</v>
      </c>
      <c r="W38" s="257"/>
      <c r="X38" s="257"/>
      <c r="Y38" s="258"/>
      <c r="Z38" s="258"/>
      <c r="AA38" s="245" t="s">
        <v>8</v>
      </c>
      <c r="AB38" s="245"/>
      <c r="AC38" s="245" t="s">
        <v>8</v>
      </c>
      <c r="AD38" s="246"/>
      <c r="AE38" s="245" t="s">
        <v>188</v>
      </c>
      <c r="AF38" s="246"/>
      <c r="AG38" s="259" t="b">
        <f ca="1" t="shared" si="2"/>
        <v>0</v>
      </c>
      <c r="AH38" s="306">
        <f ca="1" t="shared" si="3"/>
      </c>
      <c r="AI38" s="306">
        <f ca="1" t="shared" si="4"/>
      </c>
      <c r="AJ38" s="306">
        <f ca="1" t="shared" si="5"/>
      </c>
      <c r="AK38" s="230">
        <f ca="1" t="shared" si="6"/>
      </c>
      <c r="AL38" s="230">
        <f ca="1" t="shared" si="7"/>
        <v>0</v>
      </c>
      <c r="AM38" s="230">
        <f ca="1" t="shared" si="8"/>
      </c>
      <c r="AN38" s="306">
        <f ca="1" t="shared" si="9"/>
      </c>
      <c r="AO38" s="306">
        <f ca="1" t="shared" si="10"/>
      </c>
      <c r="AP38" s="230" t="e">
        <f>CHOOSE(AH38,FALSE,Data!DV$2,Data!DV$2,Data!DV$2,FALSE,FALSE,Data!DV$2)</f>
        <v>#VALUE!</v>
      </c>
      <c r="AQ38" s="230" t="e">
        <f>CHOOSE(AH38,"Affaires",IF(Data!DP$2="agricole","Agricole","Affaires"),IF(Data!DP$2="Agricole","Industriel",Data!DP$2),IF(Data!DP$2="Agricole","Industriel",Data!DP$2),IF(Data!DP$2="Agricole","Agricole","Affaires"),IF(Data!DP$2="Transport","Transport","Affaires"),IF(Data!DP$2="Agricole","Industriel",Data!DP$2))</f>
        <v>#VALUE!</v>
      </c>
      <c r="AR38" s="230" t="e">
        <f ca="1">IF(C38="Gestion","1151000",IF(AND(C38="Émissions_Fugitives",D38="Optimisation réfrigération"),"1151210",IF(AND(C38="Conversion",D38="Bioénergies"),"1151240",IF(AND(C38="Conversion",D38="Solaires"),"1151202",INDEX(OFFSET(Type_Entreprise,,2,,),MATCH('1. Demande'!AI$76,Type_Entreprise,0))))))</f>
        <v>#N/A</v>
      </c>
    </row>
    <row r="39" spans="1:44" ht="15.75" customHeight="1">
      <c r="A39" s="245"/>
      <c r="B39" s="246"/>
      <c r="C39" s="246" t="s">
        <v>8</v>
      </c>
      <c r="D39" s="246"/>
      <c r="E39" s="246" t="s">
        <v>8</v>
      </c>
      <c r="F39" s="246"/>
      <c r="G39" s="247">
        <f ca="1" t="shared" si="0"/>
      </c>
      <c r="H39" s="248"/>
      <c r="I39" s="249"/>
      <c r="J39" s="246"/>
      <c r="K39" s="250"/>
      <c r="L39" s="249"/>
      <c r="M39" s="251"/>
      <c r="N39" s="252"/>
      <c r="O39" s="253">
        <f ca="1" t="shared" si="11"/>
      </c>
      <c r="P39" s="254">
        <f ca="1" t="shared" si="12"/>
      </c>
      <c r="Q39" s="255">
        <v>0</v>
      </c>
      <c r="R39" s="255">
        <v>0</v>
      </c>
      <c r="S39" s="255">
        <v>0</v>
      </c>
      <c r="T39" s="256"/>
      <c r="U39" s="255"/>
      <c r="V39" s="245" t="s">
        <v>8</v>
      </c>
      <c r="W39" s="257"/>
      <c r="X39" s="257"/>
      <c r="Y39" s="258"/>
      <c r="Z39" s="258"/>
      <c r="AA39" s="245" t="s">
        <v>8</v>
      </c>
      <c r="AB39" s="245"/>
      <c r="AC39" s="245" t="s">
        <v>8</v>
      </c>
      <c r="AD39" s="246"/>
      <c r="AE39" s="245" t="s">
        <v>188</v>
      </c>
      <c r="AF39" s="246"/>
      <c r="AG39" s="259" t="b">
        <f ca="1" t="shared" si="2"/>
        <v>0</v>
      </c>
      <c r="AH39" s="306">
        <f ca="1" t="shared" si="3"/>
      </c>
      <c r="AI39" s="306">
        <f ca="1" t="shared" si="4"/>
      </c>
      <c r="AJ39" s="306">
        <f ca="1" t="shared" si="5"/>
      </c>
      <c r="AK39" s="230">
        <f ca="1" t="shared" si="6"/>
      </c>
      <c r="AL39" s="230">
        <f ca="1" t="shared" si="7"/>
        <v>0</v>
      </c>
      <c r="AM39" s="230">
        <f ca="1" t="shared" si="8"/>
      </c>
      <c r="AN39" s="306">
        <f ca="1" t="shared" si="9"/>
      </c>
      <c r="AO39" s="306">
        <f ca="1" t="shared" si="10"/>
      </c>
      <c r="AP39" s="230" t="e">
        <f>CHOOSE(AH39,FALSE,Data!DV$2,Data!DV$2,Data!DV$2,FALSE,FALSE,Data!DV$2)</f>
        <v>#VALUE!</v>
      </c>
      <c r="AQ39" s="230" t="e">
        <f>CHOOSE(AH39,"Affaires",IF(Data!DP$2="agricole","Agricole","Affaires"),IF(Data!DP$2="Agricole","Industriel",Data!DP$2),IF(Data!DP$2="Agricole","Industriel",Data!DP$2),IF(Data!DP$2="Agricole","Agricole","Affaires"),IF(Data!DP$2="Transport","Transport","Affaires"),IF(Data!DP$2="Agricole","Industriel",Data!DP$2))</f>
        <v>#VALUE!</v>
      </c>
      <c r="AR39" s="230" t="e">
        <f ca="1">IF(C39="Gestion","1151000",IF(AND(C39="Émissions_Fugitives",D39="Optimisation réfrigération"),"1151210",IF(AND(C39="Conversion",D39="Bioénergies"),"1151240",IF(AND(C39="Conversion",D39="Solaires"),"1151202",INDEX(OFFSET(Type_Entreprise,,2,,),MATCH('1. Demande'!AI$76,Type_Entreprise,0))))))</f>
        <v>#N/A</v>
      </c>
    </row>
    <row r="40" spans="1:44" ht="15.75" customHeight="1">
      <c r="A40" s="245"/>
      <c r="B40" s="246"/>
      <c r="C40" s="246" t="s">
        <v>8</v>
      </c>
      <c r="D40" s="246"/>
      <c r="E40" s="246" t="s">
        <v>8</v>
      </c>
      <c r="F40" s="246"/>
      <c r="G40" s="247">
        <f ca="1" t="shared" si="0"/>
      </c>
      <c r="H40" s="248"/>
      <c r="I40" s="249"/>
      <c r="J40" s="246"/>
      <c r="K40" s="250"/>
      <c r="L40" s="249"/>
      <c r="M40" s="251"/>
      <c r="N40" s="252"/>
      <c r="O40" s="253">
        <f ca="1" t="shared" si="11"/>
      </c>
      <c r="P40" s="254">
        <f ca="1" t="shared" si="12"/>
      </c>
      <c r="Q40" s="255">
        <v>0</v>
      </c>
      <c r="R40" s="255">
        <v>0</v>
      </c>
      <c r="S40" s="255">
        <v>0</v>
      </c>
      <c r="T40" s="256"/>
      <c r="U40" s="255"/>
      <c r="V40" s="245" t="s">
        <v>8</v>
      </c>
      <c r="W40" s="257"/>
      <c r="X40" s="257"/>
      <c r="Y40" s="258"/>
      <c r="Z40" s="258"/>
      <c r="AA40" s="245" t="s">
        <v>8</v>
      </c>
      <c r="AB40" s="245"/>
      <c r="AC40" s="245" t="s">
        <v>8</v>
      </c>
      <c r="AD40" s="246"/>
      <c r="AE40" s="245" t="s">
        <v>188</v>
      </c>
      <c r="AF40" s="246"/>
      <c r="AG40" s="259" t="b">
        <f ca="1" t="shared" si="2"/>
        <v>0</v>
      </c>
      <c r="AH40" s="306">
        <f ca="1" t="shared" si="3"/>
      </c>
      <c r="AI40" s="306">
        <f ca="1" t="shared" si="4"/>
      </c>
      <c r="AJ40" s="306">
        <f ca="1" t="shared" si="5"/>
      </c>
      <c r="AK40" s="230">
        <f ca="1" t="shared" si="6"/>
      </c>
      <c r="AL40" s="230">
        <f ca="1" t="shared" si="7"/>
        <v>0</v>
      </c>
      <c r="AM40" s="230">
        <f ca="1" t="shared" si="8"/>
      </c>
      <c r="AN40" s="306">
        <f ca="1" t="shared" si="9"/>
      </c>
      <c r="AO40" s="306">
        <f ca="1" t="shared" si="10"/>
      </c>
      <c r="AP40" s="230" t="e">
        <f>CHOOSE(AH40,FALSE,Data!DV$2,Data!DV$2,Data!DV$2,FALSE,FALSE,Data!DV$2)</f>
        <v>#VALUE!</v>
      </c>
      <c r="AQ40" s="230" t="e">
        <f>CHOOSE(AH40,"Affaires",IF(Data!DP$2="agricole","Agricole","Affaires"),IF(Data!DP$2="Agricole","Industriel",Data!DP$2),IF(Data!DP$2="Agricole","Industriel",Data!DP$2),IF(Data!DP$2="Agricole","Agricole","Affaires"),IF(Data!DP$2="Transport","Transport","Affaires"),IF(Data!DP$2="Agricole","Industriel",Data!DP$2))</f>
        <v>#VALUE!</v>
      </c>
      <c r="AR40" s="230" t="e">
        <f ca="1">IF(C40="Gestion","1151000",IF(AND(C40="Émissions_Fugitives",D40="Optimisation réfrigération"),"1151210",IF(AND(C40="Conversion",D40="Bioénergies"),"1151240",IF(AND(C40="Conversion",D40="Solaires"),"1151202",INDEX(OFFSET(Type_Entreprise,,2,,),MATCH('1. Demande'!AI$76,Type_Entreprise,0))))))</f>
        <v>#N/A</v>
      </c>
    </row>
    <row r="41" spans="1:44" ht="15.75" customHeight="1">
      <c r="A41" s="245"/>
      <c r="B41" s="246"/>
      <c r="C41" s="246" t="s">
        <v>8</v>
      </c>
      <c r="D41" s="246"/>
      <c r="E41" s="246" t="s">
        <v>8</v>
      </c>
      <c r="F41" s="246"/>
      <c r="G41" s="247">
        <f ca="1" t="shared" si="0"/>
      </c>
      <c r="H41" s="248"/>
      <c r="I41" s="249"/>
      <c r="J41" s="246"/>
      <c r="K41" s="250"/>
      <c r="L41" s="249"/>
      <c r="M41" s="251"/>
      <c r="N41" s="252"/>
      <c r="O41" s="253">
        <f ca="1" t="shared" si="11"/>
      </c>
      <c r="P41" s="254">
        <f ca="1" t="shared" si="12"/>
      </c>
      <c r="Q41" s="255">
        <v>0</v>
      </c>
      <c r="R41" s="255">
        <v>0</v>
      </c>
      <c r="S41" s="255">
        <v>0</v>
      </c>
      <c r="T41" s="256"/>
      <c r="U41" s="255"/>
      <c r="V41" s="245" t="s">
        <v>8</v>
      </c>
      <c r="W41" s="257"/>
      <c r="X41" s="257"/>
      <c r="Y41" s="258"/>
      <c r="Z41" s="258"/>
      <c r="AA41" s="245" t="s">
        <v>8</v>
      </c>
      <c r="AB41" s="245"/>
      <c r="AC41" s="245" t="s">
        <v>8</v>
      </c>
      <c r="AD41" s="246"/>
      <c r="AE41" s="245" t="s">
        <v>188</v>
      </c>
      <c r="AF41" s="246"/>
      <c r="AG41" s="259" t="b">
        <f ca="1" t="shared" si="2"/>
        <v>0</v>
      </c>
      <c r="AH41" s="306">
        <f ca="1" t="shared" si="3"/>
      </c>
      <c r="AI41" s="306">
        <f ca="1" t="shared" si="4"/>
      </c>
      <c r="AJ41" s="306">
        <f ca="1" t="shared" si="5"/>
      </c>
      <c r="AK41" s="230">
        <f ca="1" t="shared" si="6"/>
      </c>
      <c r="AL41" s="230">
        <f ca="1" t="shared" si="7"/>
        <v>0</v>
      </c>
      <c r="AM41" s="230">
        <f ca="1" t="shared" si="8"/>
      </c>
      <c r="AN41" s="306">
        <f ca="1" t="shared" si="9"/>
      </c>
      <c r="AO41" s="306">
        <f ca="1" t="shared" si="10"/>
      </c>
      <c r="AP41" s="230" t="e">
        <f>CHOOSE(AH41,FALSE,Data!DV$2,Data!DV$2,Data!DV$2,FALSE,FALSE,Data!DV$2)</f>
        <v>#VALUE!</v>
      </c>
      <c r="AQ41" s="230" t="e">
        <f>CHOOSE(AH41,"Affaires",IF(Data!DP$2="agricole","Agricole","Affaires"),IF(Data!DP$2="Agricole","Industriel",Data!DP$2),IF(Data!DP$2="Agricole","Industriel",Data!DP$2),IF(Data!DP$2="Agricole","Agricole","Affaires"),IF(Data!DP$2="Transport","Transport","Affaires"),IF(Data!DP$2="Agricole","Industriel",Data!DP$2))</f>
        <v>#VALUE!</v>
      </c>
      <c r="AR41" s="230" t="e">
        <f ca="1">IF(C41="Gestion","1151000",IF(AND(C41="Émissions_Fugitives",D41="Optimisation réfrigération"),"1151210",IF(AND(C41="Conversion",D41="Bioénergies"),"1151240",IF(AND(C41="Conversion",D41="Solaires"),"1151202",INDEX(OFFSET(Type_Entreprise,,2,,),MATCH('1. Demande'!AI$76,Type_Entreprise,0))))))</f>
        <v>#N/A</v>
      </c>
    </row>
    <row r="42" spans="1:44" ht="15.75" customHeight="1">
      <c r="A42" s="245"/>
      <c r="B42" s="246"/>
      <c r="C42" s="246" t="s">
        <v>8</v>
      </c>
      <c r="D42" s="246"/>
      <c r="E42" s="246" t="s">
        <v>8</v>
      </c>
      <c r="F42" s="246"/>
      <c r="G42" s="247">
        <f ca="1" t="shared" si="0"/>
      </c>
      <c r="H42" s="248"/>
      <c r="I42" s="249"/>
      <c r="J42" s="246"/>
      <c r="K42" s="250"/>
      <c r="L42" s="249"/>
      <c r="M42" s="251"/>
      <c r="N42" s="252"/>
      <c r="O42" s="253">
        <f ca="1" t="shared" si="11"/>
      </c>
      <c r="P42" s="254">
        <f ca="1" t="shared" si="12"/>
      </c>
      <c r="Q42" s="255">
        <v>0</v>
      </c>
      <c r="R42" s="255">
        <v>0</v>
      </c>
      <c r="S42" s="255">
        <v>0</v>
      </c>
      <c r="T42" s="256"/>
      <c r="U42" s="255"/>
      <c r="V42" s="245" t="s">
        <v>8</v>
      </c>
      <c r="W42" s="257"/>
      <c r="X42" s="257"/>
      <c r="Y42" s="258"/>
      <c r="Z42" s="258"/>
      <c r="AA42" s="245" t="s">
        <v>8</v>
      </c>
      <c r="AB42" s="245"/>
      <c r="AC42" s="245" t="s">
        <v>8</v>
      </c>
      <c r="AD42" s="246"/>
      <c r="AE42" s="245" t="s">
        <v>188</v>
      </c>
      <c r="AF42" s="246"/>
      <c r="AG42" s="259" t="b">
        <f ca="1" t="shared" si="2"/>
        <v>0</v>
      </c>
      <c r="AH42" s="306">
        <f ca="1" t="shared" si="3"/>
      </c>
      <c r="AI42" s="306">
        <f ca="1" t="shared" si="4"/>
      </c>
      <c r="AJ42" s="306">
        <f ca="1" t="shared" si="5"/>
      </c>
      <c r="AK42" s="230">
        <f ca="1" t="shared" si="6"/>
      </c>
      <c r="AL42" s="230">
        <f ca="1" t="shared" si="7"/>
        <v>0</v>
      </c>
      <c r="AM42" s="230">
        <f ca="1" t="shared" si="8"/>
      </c>
      <c r="AN42" s="306">
        <f ca="1" t="shared" si="9"/>
      </c>
      <c r="AO42" s="306">
        <f ca="1" t="shared" si="10"/>
      </c>
      <c r="AP42" s="230" t="e">
        <f>CHOOSE(AH42,FALSE,Data!DV$2,Data!DV$2,Data!DV$2,FALSE,FALSE,Data!DV$2)</f>
        <v>#VALUE!</v>
      </c>
      <c r="AQ42" s="230" t="e">
        <f>CHOOSE(AH42,"Affaires",IF(Data!DP$2="agricole","Agricole","Affaires"),IF(Data!DP$2="Agricole","Industriel",Data!DP$2),IF(Data!DP$2="Agricole","Industriel",Data!DP$2),IF(Data!DP$2="Agricole","Agricole","Affaires"),IF(Data!DP$2="Transport","Transport","Affaires"),IF(Data!DP$2="Agricole","Industriel",Data!DP$2))</f>
        <v>#VALUE!</v>
      </c>
      <c r="AR42" s="230" t="e">
        <f ca="1">IF(C42="Gestion","1151000",IF(AND(C42="Émissions_Fugitives",D42="Optimisation réfrigération"),"1151210",IF(AND(C42="Conversion",D42="Bioénergies"),"1151240",IF(AND(C42="Conversion",D42="Solaires"),"1151202",INDEX(OFFSET(Type_Entreprise,,2,,),MATCH('1. Demande'!AI$76,Type_Entreprise,0))))))</f>
        <v>#N/A</v>
      </c>
    </row>
    <row r="43" spans="1:44" ht="15.75" customHeight="1">
      <c r="A43" s="245"/>
      <c r="B43" s="246"/>
      <c r="C43" s="246" t="s">
        <v>8</v>
      </c>
      <c r="D43" s="246"/>
      <c r="E43" s="246" t="s">
        <v>8</v>
      </c>
      <c r="F43" s="246"/>
      <c r="G43" s="247">
        <f ca="1" t="shared" si="0"/>
      </c>
      <c r="H43" s="248"/>
      <c r="I43" s="249"/>
      <c r="J43" s="246"/>
      <c r="K43" s="250"/>
      <c r="L43" s="249"/>
      <c r="M43" s="251"/>
      <c r="N43" s="252"/>
      <c r="O43" s="253">
        <f ca="1" t="shared" si="11"/>
      </c>
      <c r="P43" s="254">
        <f ca="1" t="shared" si="12"/>
      </c>
      <c r="Q43" s="255">
        <v>0</v>
      </c>
      <c r="R43" s="255">
        <v>0</v>
      </c>
      <c r="S43" s="255">
        <v>0</v>
      </c>
      <c r="T43" s="256"/>
      <c r="U43" s="255"/>
      <c r="V43" s="245" t="s">
        <v>8</v>
      </c>
      <c r="W43" s="257"/>
      <c r="X43" s="257"/>
      <c r="Y43" s="258"/>
      <c r="Z43" s="258"/>
      <c r="AA43" s="245" t="s">
        <v>8</v>
      </c>
      <c r="AB43" s="245"/>
      <c r="AC43" s="245" t="s">
        <v>8</v>
      </c>
      <c r="AD43" s="246"/>
      <c r="AE43" s="245" t="s">
        <v>188</v>
      </c>
      <c r="AF43" s="246"/>
      <c r="AG43" s="259" t="b">
        <f ca="1" t="shared" si="2"/>
        <v>0</v>
      </c>
      <c r="AH43" s="306">
        <f ca="1" t="shared" si="3"/>
      </c>
      <c r="AI43" s="306">
        <f ca="1" t="shared" si="4"/>
      </c>
      <c r="AJ43" s="306">
        <f ca="1" t="shared" si="5"/>
      </c>
      <c r="AK43" s="230">
        <f ca="1" t="shared" si="6"/>
      </c>
      <c r="AL43" s="230">
        <f ca="1" t="shared" si="7"/>
        <v>0</v>
      </c>
      <c r="AM43" s="230">
        <f ca="1" t="shared" si="8"/>
      </c>
      <c r="AN43" s="306">
        <f ca="1" t="shared" si="9"/>
      </c>
      <c r="AO43" s="306">
        <f ca="1" t="shared" si="10"/>
      </c>
      <c r="AP43" s="230" t="e">
        <f>CHOOSE(AH43,FALSE,Data!DV$2,Data!DV$2,Data!DV$2,FALSE,FALSE,Data!DV$2)</f>
        <v>#VALUE!</v>
      </c>
      <c r="AQ43" s="230" t="e">
        <f>CHOOSE(AH43,"Affaires",IF(Data!DP$2="agricole","Agricole","Affaires"),IF(Data!DP$2="Agricole","Industriel",Data!DP$2),IF(Data!DP$2="Agricole","Industriel",Data!DP$2),IF(Data!DP$2="Agricole","Agricole","Affaires"),IF(Data!DP$2="Transport","Transport","Affaires"),IF(Data!DP$2="Agricole","Industriel",Data!DP$2))</f>
        <v>#VALUE!</v>
      </c>
      <c r="AR43" s="230" t="e">
        <f ca="1">IF(C43="Gestion","1151000",IF(AND(C43="Émissions_Fugitives",D43="Optimisation réfrigération"),"1151210",IF(AND(C43="Conversion",D43="Bioénergies"),"1151240",IF(AND(C43="Conversion",D43="Solaires"),"1151202",INDEX(OFFSET(Type_Entreprise,,2,,),MATCH('1. Demande'!AI$76,Type_Entreprise,0))))))</f>
        <v>#N/A</v>
      </c>
    </row>
    <row r="44" spans="1:44" ht="15.75" customHeight="1">
      <c r="A44" s="245"/>
      <c r="B44" s="246"/>
      <c r="C44" s="246" t="s">
        <v>8</v>
      </c>
      <c r="D44" s="246"/>
      <c r="E44" s="246" t="s">
        <v>8</v>
      </c>
      <c r="F44" s="246"/>
      <c r="G44" s="247">
        <f ca="1" t="shared" si="0"/>
      </c>
      <c r="H44" s="248"/>
      <c r="I44" s="249"/>
      <c r="J44" s="246"/>
      <c r="K44" s="250"/>
      <c r="L44" s="249"/>
      <c r="M44" s="251"/>
      <c r="N44" s="252"/>
      <c r="O44" s="253">
        <f ca="1" t="shared" si="11"/>
      </c>
      <c r="P44" s="254">
        <f ca="1" t="shared" si="12"/>
      </c>
      <c r="Q44" s="255">
        <v>0</v>
      </c>
      <c r="R44" s="255">
        <v>0</v>
      </c>
      <c r="S44" s="255">
        <v>0</v>
      </c>
      <c r="T44" s="256"/>
      <c r="U44" s="255"/>
      <c r="V44" s="245" t="s">
        <v>8</v>
      </c>
      <c r="W44" s="257"/>
      <c r="X44" s="257"/>
      <c r="Y44" s="258"/>
      <c r="Z44" s="258"/>
      <c r="AA44" s="245" t="s">
        <v>8</v>
      </c>
      <c r="AB44" s="245"/>
      <c r="AC44" s="245" t="s">
        <v>8</v>
      </c>
      <c r="AD44" s="246"/>
      <c r="AE44" s="245" t="s">
        <v>188</v>
      </c>
      <c r="AF44" s="246"/>
      <c r="AG44" s="259" t="b">
        <f ca="1" t="shared" si="2"/>
        <v>0</v>
      </c>
      <c r="AH44" s="306">
        <f ca="1" t="shared" si="3"/>
      </c>
      <c r="AI44" s="306">
        <f ca="1" t="shared" si="4"/>
      </c>
      <c r="AJ44" s="306">
        <f ca="1" t="shared" si="5"/>
      </c>
      <c r="AK44" s="230">
        <f ca="1" t="shared" si="6"/>
      </c>
      <c r="AL44" s="230">
        <f ca="1" t="shared" si="7"/>
        <v>0</v>
      </c>
      <c r="AM44" s="230">
        <f ca="1" t="shared" si="8"/>
      </c>
      <c r="AN44" s="306">
        <f ca="1" t="shared" si="9"/>
      </c>
      <c r="AO44" s="306">
        <f ca="1" t="shared" si="10"/>
      </c>
      <c r="AP44" s="230" t="e">
        <f>CHOOSE(AH44,FALSE,Data!DV$2,Data!DV$2,Data!DV$2,FALSE,FALSE,Data!DV$2)</f>
        <v>#VALUE!</v>
      </c>
      <c r="AQ44" s="230" t="e">
        <f>CHOOSE(AH44,"Affaires",IF(Data!DP$2="agricole","Agricole","Affaires"),IF(Data!DP$2="Agricole","Industriel",Data!DP$2),IF(Data!DP$2="Agricole","Industriel",Data!DP$2),IF(Data!DP$2="Agricole","Agricole","Affaires"),IF(Data!DP$2="Transport","Transport","Affaires"),IF(Data!DP$2="Agricole","Industriel",Data!DP$2))</f>
        <v>#VALUE!</v>
      </c>
      <c r="AR44" s="230" t="e">
        <f ca="1">IF(C44="Gestion","1151000",IF(AND(C44="Émissions_Fugitives",D44="Optimisation réfrigération"),"1151210",IF(AND(C44="Conversion",D44="Bioénergies"),"1151240",IF(AND(C44="Conversion",D44="Solaires"),"1151202",INDEX(OFFSET(Type_Entreprise,,2,,),MATCH('1. Demande'!AI$76,Type_Entreprise,0))))))</f>
        <v>#N/A</v>
      </c>
    </row>
    <row r="45" spans="1:44" ht="15.75" customHeight="1">
      <c r="A45" s="245"/>
      <c r="B45" s="246"/>
      <c r="C45" s="246" t="s">
        <v>8</v>
      </c>
      <c r="D45" s="246"/>
      <c r="E45" s="246" t="s">
        <v>8</v>
      </c>
      <c r="F45" s="246"/>
      <c r="G45" s="247">
        <f ca="1" t="shared" si="0"/>
      </c>
      <c r="H45" s="248"/>
      <c r="I45" s="249"/>
      <c r="J45" s="246"/>
      <c r="K45" s="250"/>
      <c r="L45" s="249"/>
      <c r="M45" s="251"/>
      <c r="N45" s="252"/>
      <c r="O45" s="253">
        <f ca="1" t="shared" si="11"/>
      </c>
      <c r="P45" s="254">
        <f ca="1" t="shared" si="12"/>
      </c>
      <c r="Q45" s="255">
        <v>0</v>
      </c>
      <c r="R45" s="255">
        <v>0</v>
      </c>
      <c r="S45" s="255">
        <v>0</v>
      </c>
      <c r="T45" s="256"/>
      <c r="U45" s="255"/>
      <c r="V45" s="245" t="s">
        <v>8</v>
      </c>
      <c r="W45" s="257"/>
      <c r="X45" s="257"/>
      <c r="Y45" s="258"/>
      <c r="Z45" s="258"/>
      <c r="AA45" s="245" t="s">
        <v>8</v>
      </c>
      <c r="AB45" s="245"/>
      <c r="AC45" s="245" t="s">
        <v>8</v>
      </c>
      <c r="AD45" s="246"/>
      <c r="AE45" s="245" t="s">
        <v>188</v>
      </c>
      <c r="AF45" s="246"/>
      <c r="AG45" s="259" t="b">
        <f ca="1" t="shared" si="2"/>
        <v>0</v>
      </c>
      <c r="AH45" s="306">
        <f ca="1" t="shared" si="3"/>
      </c>
      <c r="AI45" s="306">
        <f ca="1" t="shared" si="4"/>
      </c>
      <c r="AJ45" s="306">
        <f ca="1" t="shared" si="5"/>
      </c>
      <c r="AK45" s="230">
        <f ca="1" t="shared" si="6"/>
      </c>
      <c r="AL45" s="230">
        <f ca="1" t="shared" si="7"/>
        <v>0</v>
      </c>
      <c r="AM45" s="230">
        <f ca="1" t="shared" si="8"/>
      </c>
      <c r="AN45" s="306">
        <f ca="1" t="shared" si="9"/>
      </c>
      <c r="AO45" s="306">
        <f ca="1" t="shared" si="10"/>
      </c>
      <c r="AP45" s="230" t="e">
        <f>CHOOSE(AH45,FALSE,Data!DV$2,Data!DV$2,Data!DV$2,FALSE,FALSE,Data!DV$2)</f>
        <v>#VALUE!</v>
      </c>
      <c r="AQ45" s="230" t="e">
        <f>CHOOSE(AH45,"Affaires",IF(Data!DP$2="agricole","Agricole","Affaires"),IF(Data!DP$2="Agricole","Industriel",Data!DP$2),IF(Data!DP$2="Agricole","Industriel",Data!DP$2),IF(Data!DP$2="Agricole","Agricole","Affaires"),IF(Data!DP$2="Transport","Transport","Affaires"),IF(Data!DP$2="Agricole","Industriel",Data!DP$2))</f>
        <v>#VALUE!</v>
      </c>
      <c r="AR45" s="230" t="e">
        <f ca="1">IF(C45="Gestion","1151000",IF(AND(C45="Émissions_Fugitives",D45="Optimisation réfrigération"),"1151210",IF(AND(C45="Conversion",D45="Bioénergies"),"1151240",IF(AND(C45="Conversion",D45="Solaires"),"1151202",INDEX(OFFSET(Type_Entreprise,,2,,),MATCH('1. Demande'!AI$76,Type_Entreprise,0))))))</f>
        <v>#N/A</v>
      </c>
    </row>
    <row r="46" spans="1:44" ht="15.75" customHeight="1">
      <c r="A46" s="245"/>
      <c r="B46" s="246"/>
      <c r="C46" s="246" t="s">
        <v>8</v>
      </c>
      <c r="D46" s="246"/>
      <c r="E46" s="246" t="s">
        <v>8</v>
      </c>
      <c r="F46" s="246"/>
      <c r="G46" s="247">
        <f ca="1" t="shared" si="0"/>
      </c>
      <c r="H46" s="248"/>
      <c r="I46" s="249"/>
      <c r="J46" s="246"/>
      <c r="K46" s="250"/>
      <c r="L46" s="249"/>
      <c r="M46" s="251"/>
      <c r="N46" s="252"/>
      <c r="O46" s="253">
        <f ca="1" t="shared" si="11"/>
      </c>
      <c r="P46" s="254">
        <f ca="1" t="shared" si="12"/>
      </c>
      <c r="Q46" s="255">
        <v>0</v>
      </c>
      <c r="R46" s="255">
        <v>0</v>
      </c>
      <c r="S46" s="255">
        <v>0</v>
      </c>
      <c r="T46" s="256"/>
      <c r="U46" s="255"/>
      <c r="V46" s="245" t="s">
        <v>8</v>
      </c>
      <c r="W46" s="257"/>
      <c r="X46" s="257"/>
      <c r="Y46" s="258"/>
      <c r="Z46" s="258"/>
      <c r="AA46" s="245" t="s">
        <v>8</v>
      </c>
      <c r="AB46" s="245"/>
      <c r="AC46" s="245" t="s">
        <v>8</v>
      </c>
      <c r="AD46" s="246"/>
      <c r="AE46" s="245" t="s">
        <v>188</v>
      </c>
      <c r="AF46" s="246"/>
      <c r="AG46" s="259" t="b">
        <f ca="1" t="shared" si="2"/>
        <v>0</v>
      </c>
      <c r="AH46" s="306">
        <f ca="1" t="shared" si="3"/>
      </c>
      <c r="AI46" s="306">
        <f ca="1" t="shared" si="4"/>
      </c>
      <c r="AJ46" s="306">
        <f ca="1" t="shared" si="5"/>
      </c>
      <c r="AK46" s="230">
        <f ca="1" t="shared" si="6"/>
      </c>
      <c r="AL46" s="230">
        <f ca="1" t="shared" si="7"/>
        <v>0</v>
      </c>
      <c r="AM46" s="230">
        <f ca="1" t="shared" si="8"/>
      </c>
      <c r="AN46" s="306">
        <f ca="1" t="shared" si="9"/>
      </c>
      <c r="AO46" s="306">
        <f ca="1" t="shared" si="10"/>
      </c>
      <c r="AP46" s="230" t="e">
        <f>CHOOSE(AH46,FALSE,Data!DV$2,Data!DV$2,Data!DV$2,FALSE,FALSE,Data!DV$2)</f>
        <v>#VALUE!</v>
      </c>
      <c r="AQ46" s="230" t="e">
        <f>CHOOSE(AH46,"Affaires",IF(Data!DP$2="agricole","Agricole","Affaires"),IF(Data!DP$2="Agricole","Industriel",Data!DP$2),IF(Data!DP$2="Agricole","Industriel",Data!DP$2),IF(Data!DP$2="Agricole","Agricole","Affaires"),IF(Data!DP$2="Transport","Transport","Affaires"),IF(Data!DP$2="Agricole","Industriel",Data!DP$2))</f>
        <v>#VALUE!</v>
      </c>
      <c r="AR46" s="230" t="e">
        <f ca="1">IF(C46="Gestion","1151000",IF(AND(C46="Émissions_Fugitives",D46="Optimisation réfrigération"),"1151210",IF(AND(C46="Conversion",D46="Bioénergies"),"1151240",IF(AND(C46="Conversion",D46="Solaires"),"1151202",INDEX(OFFSET(Type_Entreprise,,2,,),MATCH('1. Demande'!AI$76,Type_Entreprise,0))))))</f>
        <v>#N/A</v>
      </c>
    </row>
    <row r="47" spans="1:44" ht="15.75" customHeight="1">
      <c r="A47" s="245"/>
      <c r="B47" s="246"/>
      <c r="C47" s="246" t="s">
        <v>8</v>
      </c>
      <c r="D47" s="246"/>
      <c r="E47" s="246" t="s">
        <v>8</v>
      </c>
      <c r="F47" s="246"/>
      <c r="G47" s="247">
        <f ca="1" t="shared" si="0"/>
      </c>
      <c r="H47" s="248"/>
      <c r="I47" s="249"/>
      <c r="J47" s="246"/>
      <c r="K47" s="250"/>
      <c r="L47" s="249"/>
      <c r="M47" s="251"/>
      <c r="N47" s="252"/>
      <c r="O47" s="253">
        <f ca="1" t="shared" si="11"/>
      </c>
      <c r="P47" s="254">
        <f ca="1" t="shared" si="12"/>
      </c>
      <c r="Q47" s="255">
        <v>0</v>
      </c>
      <c r="R47" s="255">
        <v>0</v>
      </c>
      <c r="S47" s="255">
        <v>0</v>
      </c>
      <c r="T47" s="256"/>
      <c r="U47" s="255"/>
      <c r="V47" s="245" t="s">
        <v>8</v>
      </c>
      <c r="W47" s="257"/>
      <c r="X47" s="257"/>
      <c r="Y47" s="258"/>
      <c r="Z47" s="258"/>
      <c r="AA47" s="245" t="s">
        <v>8</v>
      </c>
      <c r="AB47" s="245"/>
      <c r="AC47" s="245" t="s">
        <v>8</v>
      </c>
      <c r="AD47" s="246"/>
      <c r="AE47" s="245" t="s">
        <v>188</v>
      </c>
      <c r="AF47" s="260"/>
      <c r="AG47" s="259" t="b">
        <f ca="1" t="shared" si="2"/>
        <v>0</v>
      </c>
      <c r="AH47" s="306">
        <f ca="1" t="shared" si="3"/>
      </c>
      <c r="AI47" s="306">
        <f ca="1" t="shared" si="4"/>
      </c>
      <c r="AJ47" s="306">
        <f ca="1" t="shared" si="5"/>
      </c>
      <c r="AK47" s="230">
        <f ca="1" t="shared" si="6"/>
      </c>
      <c r="AL47" s="230">
        <f ca="1" t="shared" si="7"/>
        <v>0</v>
      </c>
      <c r="AM47" s="230">
        <f ca="1" t="shared" si="8"/>
      </c>
      <c r="AN47" s="306">
        <f ca="1" t="shared" si="9"/>
      </c>
      <c r="AO47" s="306">
        <f ca="1" t="shared" si="10"/>
      </c>
      <c r="AP47" s="230" t="e">
        <f>CHOOSE(AH47,FALSE,Data!DV$2,Data!DV$2,Data!DV$2,FALSE,FALSE,Data!DV$2)</f>
        <v>#VALUE!</v>
      </c>
      <c r="AQ47" s="230" t="e">
        <f>CHOOSE(AH47,"Affaires",IF(Data!DP$2="agricole","Agricole","Affaires"),IF(Data!DP$2="Agricole","Industriel",Data!DP$2),IF(Data!DP$2="Agricole","Industriel",Data!DP$2),IF(Data!DP$2="Agricole","Agricole","Affaires"),IF(Data!DP$2="Transport","Transport","Affaires"),IF(Data!DP$2="Agricole","Industriel",Data!DP$2))</f>
        <v>#VALUE!</v>
      </c>
      <c r="AR47" s="230" t="e">
        <f ca="1">IF(C47="Gestion","1151000",IF(AND(C47="Émissions_Fugitives",D47="Optimisation réfrigération"),"1151210",IF(AND(C47="Conversion",D47="Bioénergies"),"1151240",IF(AND(C47="Conversion",D47="Solaires"),"1151202",INDEX(OFFSET(Type_Entreprise,,2,,),MATCH('1. Demande'!AI$76,Type_Entreprise,0))))))</f>
        <v>#N/A</v>
      </c>
    </row>
    <row r="48" spans="1:44" ht="15.75" customHeight="1">
      <c r="A48" s="245"/>
      <c r="B48" s="246"/>
      <c r="C48" s="246" t="s">
        <v>8</v>
      </c>
      <c r="D48" s="246"/>
      <c r="E48" s="246" t="s">
        <v>8</v>
      </c>
      <c r="F48" s="246"/>
      <c r="G48" s="247">
        <f ca="1" t="shared" si="0"/>
      </c>
      <c r="H48" s="248"/>
      <c r="I48" s="249"/>
      <c r="J48" s="246"/>
      <c r="K48" s="250"/>
      <c r="L48" s="249"/>
      <c r="M48" s="251"/>
      <c r="N48" s="252"/>
      <c r="O48" s="253">
        <f ca="1" t="shared" si="11"/>
      </c>
      <c r="P48" s="254">
        <f ca="1" t="shared" si="12"/>
      </c>
      <c r="Q48" s="255">
        <v>0</v>
      </c>
      <c r="R48" s="255">
        <v>0</v>
      </c>
      <c r="S48" s="255">
        <v>0</v>
      </c>
      <c r="T48" s="256"/>
      <c r="U48" s="255"/>
      <c r="V48" s="245" t="s">
        <v>8</v>
      </c>
      <c r="W48" s="257"/>
      <c r="X48" s="257"/>
      <c r="Y48" s="258"/>
      <c r="Z48" s="258"/>
      <c r="AA48" s="245" t="s">
        <v>8</v>
      </c>
      <c r="AB48" s="245"/>
      <c r="AC48" s="245" t="s">
        <v>8</v>
      </c>
      <c r="AD48" s="246"/>
      <c r="AE48" s="245" t="s">
        <v>188</v>
      </c>
      <c r="AF48" s="246"/>
      <c r="AG48" s="259" t="b">
        <f ca="1" t="shared" si="2"/>
        <v>0</v>
      </c>
      <c r="AH48" s="306">
        <f ca="1" t="shared" si="3"/>
      </c>
      <c r="AI48" s="306">
        <f ca="1" t="shared" si="4"/>
      </c>
      <c r="AJ48" s="306">
        <f ca="1" t="shared" si="5"/>
      </c>
      <c r="AK48" s="230">
        <f ca="1" t="shared" si="6"/>
      </c>
      <c r="AL48" s="230">
        <f ca="1" t="shared" si="7"/>
        <v>0</v>
      </c>
      <c r="AM48" s="230">
        <f ca="1" t="shared" si="8"/>
      </c>
      <c r="AN48" s="306">
        <f ca="1" t="shared" si="9"/>
      </c>
      <c r="AO48" s="306">
        <f ca="1" t="shared" si="10"/>
      </c>
      <c r="AP48" s="230" t="e">
        <f>CHOOSE(AH48,FALSE,Data!DV$2,Data!DV$2,Data!DV$2,FALSE,FALSE,Data!DV$2)</f>
        <v>#VALUE!</v>
      </c>
      <c r="AQ48" s="230" t="e">
        <f>CHOOSE(AH48,"Affaires",IF(Data!DP$2="agricole","Agricole","Affaires"),IF(Data!DP$2="Agricole","Industriel",Data!DP$2),IF(Data!DP$2="Agricole","Industriel",Data!DP$2),IF(Data!DP$2="Agricole","Agricole","Affaires"),IF(Data!DP$2="Transport","Transport","Affaires"),IF(Data!DP$2="Agricole","Industriel",Data!DP$2))</f>
        <v>#VALUE!</v>
      </c>
      <c r="AR48" s="230" t="e">
        <f ca="1">IF(C48="Gestion","1151000",IF(AND(C48="Émissions_Fugitives",D48="Optimisation réfrigération"),"1151210",IF(AND(C48="Conversion",D48="Bioénergies"),"1151240",IF(AND(C48="Conversion",D48="Solaires"),"1151202",INDEX(OFFSET(Type_Entreprise,,2,,),MATCH('1. Demande'!AI$76,Type_Entreprise,0))))))</f>
        <v>#N/A</v>
      </c>
    </row>
    <row r="49" spans="1:44" ht="15.75" customHeight="1" thickBot="1">
      <c r="A49" s="261"/>
      <c r="B49" s="262"/>
      <c r="C49" s="246" t="s">
        <v>8</v>
      </c>
      <c r="D49" s="246"/>
      <c r="E49" s="246" t="s">
        <v>8</v>
      </c>
      <c r="F49" s="246"/>
      <c r="G49" s="247">
        <f ca="1" t="shared" si="0"/>
      </c>
      <c r="H49" s="248"/>
      <c r="I49" s="263"/>
      <c r="J49" s="262"/>
      <c r="K49" s="264"/>
      <c r="L49" s="263"/>
      <c r="M49" s="265"/>
      <c r="N49" s="266"/>
      <c r="O49" s="253">
        <f ca="1" t="shared" si="11"/>
      </c>
      <c r="P49" s="254">
        <f ca="1" t="shared" si="12"/>
      </c>
      <c r="Q49" s="267">
        <v>0</v>
      </c>
      <c r="R49" s="267">
        <v>0</v>
      </c>
      <c r="S49" s="255">
        <v>0</v>
      </c>
      <c r="T49" s="256"/>
      <c r="U49" s="267"/>
      <c r="V49" s="245" t="s">
        <v>8</v>
      </c>
      <c r="W49" s="268"/>
      <c r="X49" s="268"/>
      <c r="Y49" s="269"/>
      <c r="Z49" s="269"/>
      <c r="AA49" s="245" t="s">
        <v>8</v>
      </c>
      <c r="AB49" s="261"/>
      <c r="AC49" s="245" t="s">
        <v>8</v>
      </c>
      <c r="AD49" s="262"/>
      <c r="AE49" s="245" t="s">
        <v>188</v>
      </c>
      <c r="AF49" s="262"/>
      <c r="AG49" s="259" t="b">
        <f ca="1" t="shared" si="2"/>
        <v>0</v>
      </c>
      <c r="AH49" s="306">
        <f ca="1" t="shared" si="3"/>
      </c>
      <c r="AI49" s="306">
        <f ca="1" t="shared" si="4"/>
      </c>
      <c r="AJ49" s="306">
        <f ca="1" t="shared" si="5"/>
      </c>
      <c r="AK49" s="230">
        <f ca="1" t="shared" si="6"/>
      </c>
      <c r="AL49" s="230">
        <f ca="1" t="shared" si="7"/>
        <v>0</v>
      </c>
      <c r="AM49" s="230">
        <f ca="1" t="shared" si="8"/>
      </c>
      <c r="AN49" s="306">
        <f ca="1" t="shared" si="9"/>
      </c>
      <c r="AO49" s="306">
        <f ca="1" t="shared" si="10"/>
      </c>
      <c r="AP49" s="230" t="e">
        <f>CHOOSE(AH49,FALSE,Data!DV$2,Data!DV$2,Data!DV$2,FALSE,FALSE,Data!DV$2)</f>
        <v>#VALUE!</v>
      </c>
      <c r="AQ49" s="230" t="e">
        <f>CHOOSE(AH49,"Affaires",IF(Data!DP$2="agricole","Agricole","Affaires"),IF(Data!DP$2="Agricole","Industriel",Data!DP$2),IF(Data!DP$2="Agricole","Industriel",Data!DP$2),IF(Data!DP$2="Agricole","Agricole","Affaires"),IF(Data!DP$2="Transport","Transport","Affaires"),IF(Data!DP$2="Agricole","Industriel",Data!DP$2))</f>
        <v>#VALUE!</v>
      </c>
      <c r="AR49" s="230" t="e">
        <f ca="1">IF(C49="Gestion","1151000",IF(AND(C49="Émissions_Fugitives",D49="Optimisation réfrigération"),"1151210",IF(AND(C49="Conversion",D49="Bioénergies"),"1151240",IF(AND(C49="Conversion",D49="Solaires"),"1151202",INDEX(OFFSET(Type_Entreprise,,2,,),MATCH('1. Demande'!AI$76,Type_Entreprise,0))))))</f>
        <v>#N/A</v>
      </c>
    </row>
    <row r="50" spans="1:33" ht="13.5" thickTop="1">
      <c r="A50" s="270"/>
      <c r="B50" s="271"/>
      <c r="C50" s="272" t="s">
        <v>520</v>
      </c>
      <c r="D50" s="270"/>
      <c r="E50" s="270"/>
      <c r="F50" s="271"/>
      <c r="G50" s="271"/>
      <c r="H50" s="271"/>
      <c r="I50" s="273"/>
      <c r="J50" s="273"/>
      <c r="K50" s="273"/>
      <c r="L50" s="273"/>
      <c r="M50" s="274"/>
      <c r="N50" s="275">
        <f aca="true" t="shared" si="13" ref="N50:U50">SUM(N16:N49)</f>
        <v>0</v>
      </c>
      <c r="O50" s="276">
        <f t="shared" si="13"/>
        <v>0</v>
      </c>
      <c r="P50" s="277">
        <f t="shared" si="13"/>
        <v>0</v>
      </c>
      <c r="Q50" s="278">
        <f t="shared" si="13"/>
        <v>0</v>
      </c>
      <c r="R50" s="278">
        <f t="shared" si="13"/>
        <v>0</v>
      </c>
      <c r="S50" s="278">
        <f t="shared" si="13"/>
        <v>0</v>
      </c>
      <c r="T50" s="278">
        <f t="shared" si="13"/>
        <v>0</v>
      </c>
      <c r="U50" s="278">
        <f t="shared" si="13"/>
        <v>0</v>
      </c>
      <c r="V50" s="271"/>
      <c r="W50" s="271"/>
      <c r="X50" s="271"/>
      <c r="Y50" s="271"/>
      <c r="Z50" s="271"/>
      <c r="AA50" s="279"/>
      <c r="AB50" s="279"/>
      <c r="AC50" s="279"/>
      <c r="AD50" s="271"/>
      <c r="AE50" s="280"/>
      <c r="AF50" s="271"/>
      <c r="AG50" s="281"/>
    </row>
    <row r="51" spans="1:33" ht="12.75">
      <c r="A51" s="282"/>
      <c r="B51" s="283"/>
      <c r="C51" s="282"/>
      <c r="D51" s="282"/>
      <c r="E51" s="282"/>
      <c r="F51" s="283"/>
      <c r="G51" s="283"/>
      <c r="H51" s="283"/>
      <c r="I51" s="284"/>
      <c r="J51" s="284"/>
      <c r="K51" s="284"/>
      <c r="L51" s="284"/>
      <c r="M51" s="285"/>
      <c r="N51" s="285"/>
      <c r="O51" s="286"/>
      <c r="P51" s="287"/>
      <c r="Q51" s="285"/>
      <c r="R51" s="285"/>
      <c r="S51" s="285"/>
      <c r="T51" s="285"/>
      <c r="U51" s="285"/>
      <c r="V51" s="283"/>
      <c r="W51" s="283"/>
      <c r="X51" s="283"/>
      <c r="Y51" s="283"/>
      <c r="Z51" s="283"/>
      <c r="AA51" s="288"/>
      <c r="AB51" s="288"/>
      <c r="AC51" s="288"/>
      <c r="AD51" s="283"/>
      <c r="AE51" s="289"/>
      <c r="AF51" s="283"/>
      <c r="AG51" s="283"/>
    </row>
    <row r="52" spans="1:33" ht="12.75">
      <c r="A52" s="237" t="s">
        <v>721</v>
      </c>
      <c r="R52" s="237" t="s">
        <v>722</v>
      </c>
      <c r="V52" s="237" t="s">
        <v>723</v>
      </c>
      <c r="AC52" s="290"/>
      <c r="AD52" s="290"/>
      <c r="AE52" s="290"/>
      <c r="AF52" s="235" t="s">
        <v>724</v>
      </c>
      <c r="AG52" s="235"/>
    </row>
    <row r="53" spans="1:33" ht="12.75">
      <c r="A53" s="237" t="s">
        <v>725</v>
      </c>
      <c r="R53" s="237" t="s">
        <v>726</v>
      </c>
      <c r="V53" s="237" t="s">
        <v>727</v>
      </c>
      <c r="AC53" s="290"/>
      <c r="AD53" s="290"/>
      <c r="AE53" s="290"/>
      <c r="AF53" s="290"/>
      <c r="AG53" s="290"/>
    </row>
    <row r="54" spans="1:33" ht="12.75">
      <c r="A54" s="237" t="s">
        <v>728</v>
      </c>
      <c r="R54" s="237" t="s">
        <v>729</v>
      </c>
      <c r="V54" s="237" t="s">
        <v>730</v>
      </c>
      <c r="W54" s="290"/>
      <c r="X54" s="290"/>
      <c r="Y54" s="290"/>
      <c r="Z54" s="290"/>
      <c r="AA54" s="290"/>
      <c r="AB54" s="290"/>
      <c r="AC54" s="237"/>
      <c r="AD54" s="290"/>
      <c r="AE54" s="290"/>
      <c r="AF54" s="290"/>
      <c r="AG54" s="290"/>
    </row>
    <row r="55" spans="1:33" ht="12.75">
      <c r="A55" s="237" t="s">
        <v>731</v>
      </c>
      <c r="R55" s="237" t="s">
        <v>732</v>
      </c>
      <c r="V55" s="237" t="s">
        <v>733</v>
      </c>
      <c r="W55" s="290"/>
      <c r="X55" s="290"/>
      <c r="Y55" s="290"/>
      <c r="Z55" s="290"/>
      <c r="AA55" s="290"/>
      <c r="AB55" s="290"/>
      <c r="AC55" s="237"/>
      <c r="AD55" s="290"/>
      <c r="AE55" s="290"/>
      <c r="AF55" s="290"/>
      <c r="AG55" s="290"/>
    </row>
    <row r="56" spans="1:33" ht="12.75">
      <c r="A56" s="237" t="s">
        <v>734</v>
      </c>
      <c r="V56" s="237" t="s">
        <v>735</v>
      </c>
      <c r="W56" s="290"/>
      <c r="X56" s="290"/>
      <c r="Y56" s="290"/>
      <c r="Z56" s="290"/>
      <c r="AA56" s="290"/>
      <c r="AB56" s="290"/>
      <c r="AC56" s="237"/>
      <c r="AD56" s="290"/>
      <c r="AE56" s="290"/>
      <c r="AF56" s="290"/>
      <c r="AG56" s="290"/>
    </row>
    <row r="57" spans="1:30" ht="12.75">
      <c r="A57" s="237" t="s">
        <v>736</v>
      </c>
      <c r="B57" s="290"/>
      <c r="F57" s="290"/>
      <c r="G57" s="290"/>
      <c r="H57" s="290"/>
      <c r="V57" s="237" t="s">
        <v>737</v>
      </c>
      <c r="AB57" s="233"/>
      <c r="AC57" s="233"/>
      <c r="AD57" s="233"/>
    </row>
    <row r="58" spans="1:30" ht="12.75">
      <c r="A58" s="237" t="s">
        <v>738</v>
      </c>
      <c r="AB58" s="233"/>
      <c r="AC58" s="233"/>
      <c r="AD58" s="233"/>
    </row>
    <row r="59" spans="10:30" ht="12.75">
      <c r="J59" s="237"/>
      <c r="AB59" s="233"/>
      <c r="AC59" s="233"/>
      <c r="AD59" s="233"/>
    </row>
  </sheetData>
  <sheetProtection password="E71A" sheet="1" formatCells="0" formatColumns="0" formatRows="0" sort="0" autoFilter="0" pivotTables="0"/>
  <mergeCells count="40">
    <mergeCell ref="G13:G14"/>
    <mergeCell ref="H13:H14"/>
    <mergeCell ref="I13:I14"/>
    <mergeCell ref="J13:J14"/>
    <mergeCell ref="U13:U14"/>
    <mergeCell ref="A12:A14"/>
    <mergeCell ref="B12:B14"/>
    <mergeCell ref="C12:C14"/>
    <mergeCell ref="D12:D14"/>
    <mergeCell ref="E12:E14"/>
    <mergeCell ref="F13:F14"/>
    <mergeCell ref="C8:G8"/>
    <mergeCell ref="AB8:AF8"/>
    <mergeCell ref="C9:D9"/>
    <mergeCell ref="AB9:AC9"/>
    <mergeCell ref="AC11:AF11"/>
    <mergeCell ref="F12:K12"/>
    <mergeCell ref="L12:P12"/>
    <mergeCell ref="Q12:T12"/>
    <mergeCell ref="U12:V12"/>
    <mergeCell ref="P13:P14"/>
    <mergeCell ref="Q13:S13"/>
    <mergeCell ref="T13:T14"/>
    <mergeCell ref="V13:V14"/>
    <mergeCell ref="W13:W14"/>
    <mergeCell ref="K13:K14"/>
    <mergeCell ref="L13:L14"/>
    <mergeCell ref="M13:M14"/>
    <mergeCell ref="N13:N14"/>
    <mergeCell ref="O13:O14"/>
    <mergeCell ref="X13:X14"/>
    <mergeCell ref="AF12:AF14"/>
    <mergeCell ref="AA12:AA14"/>
    <mergeCell ref="AB12:AB14"/>
    <mergeCell ref="AC12:AC14"/>
    <mergeCell ref="AD12:AD14"/>
    <mergeCell ref="AE12:AE14"/>
    <mergeCell ref="Z12:Z14"/>
    <mergeCell ref="Y12:Y14"/>
    <mergeCell ref="W12:X12"/>
  </mergeCells>
  <conditionalFormatting sqref="P19:P49">
    <cfRule type="expression" priority="5" dxfId="3" stopIfTrue="1">
      <formula>IF(AND(C19="OPTER",P19&lt;INDEX(OFFSET(INDIRECT($C19),,1,,),MATCH(D19,INDIRECT($C19),0))),TRUE,FALSE)</formula>
    </cfRule>
  </conditionalFormatting>
  <conditionalFormatting sqref="E16:E49">
    <cfRule type="expression" priority="6" dxfId="4" stopIfTrue="1">
      <formula>IF(AND(L16="",E16="Choisir…"),TRUE,FALSE)</formula>
    </cfRule>
    <cfRule type="expression" priority="7" dxfId="2" stopIfTrue="1">
      <formula>IF(AND(L16&lt;&gt;"",F16="",E16="Choisir…"),TRUE,FALSE)</formula>
    </cfRule>
  </conditionalFormatting>
  <conditionalFormatting sqref="F16:F49">
    <cfRule type="expression" priority="8" dxfId="4" stopIfTrue="1">
      <formula>IF(AND(L16="",F16=""),TRUE,FALSE)</formula>
    </cfRule>
    <cfRule type="expression" priority="9" dxfId="2" stopIfTrue="1">
      <formula>IF(AND(L16&lt;&gt;"",F16=""),TRUE,FALSE)</formula>
    </cfRule>
  </conditionalFormatting>
  <conditionalFormatting sqref="H19:H49">
    <cfRule type="expression" priority="10" dxfId="2" stopIfTrue="1">
      <formula>IF(AND(E19="Énergie",H19="",IF(F19&lt;&gt;"",INDEX(OFFSET(Énergie,,8,,),MATCH(F19,Énergie,0))&lt;&gt;"",FALSE)),TRUE,FALSE)</formula>
    </cfRule>
    <cfRule type="expression" priority="11" dxfId="1" stopIfTrue="1">
      <formula>IF(AND(E19="Énergie",H19&lt;&gt;"",IF(F19&lt;&gt;"",INDEX(OFFSET(Énergie,,8,,),MATCH(F19,Énergie,0))&lt;&gt;"",FALSE)),TRUE,FALSE)</formula>
    </cfRule>
    <cfRule type="expression" priority="12" dxfId="0" stopIfTrue="1">
      <formula>IF(OR(E19&lt;&gt;"Énergie",AND(E19="Énergie",IF(F19&lt;&gt;"",INDEX(OFFSET(Énergie,,8,,),MATCH(F19,Énergie,0))&lt;&gt;"",FALSE))),TRUE,FALSE)</formula>
    </cfRule>
  </conditionalFormatting>
  <conditionalFormatting sqref="AA16:AA49 V16:V49 C16:C49">
    <cfRule type="cellIs" priority="13" dxfId="4" operator="equal" stopIfTrue="1">
      <formula>"Choisir…"</formula>
    </cfRule>
  </conditionalFormatting>
  <conditionalFormatting sqref="AC16:AC49">
    <cfRule type="cellIs" priority="14" dxfId="4" operator="equal" stopIfTrue="1">
      <formula>"choisir…"</formula>
    </cfRule>
  </conditionalFormatting>
  <conditionalFormatting sqref="D16:D49">
    <cfRule type="cellIs" priority="15" dxfId="4" operator="equal" stopIfTrue="1">
      <formula>""</formula>
    </cfRule>
  </conditionalFormatting>
  <conditionalFormatting sqref="AE16:AE49">
    <cfRule type="cellIs" priority="16" dxfId="4" operator="equal" stopIfTrue="1">
      <formula>"Non"</formula>
    </cfRule>
  </conditionalFormatting>
  <conditionalFormatting sqref="O16:P18">
    <cfRule type="expression" priority="4" dxfId="3" stopIfTrue="1">
      <formula>IF(AND(B16="OPTER",O16&lt;INDEX(OFFSET(INDIRECT($C16),,1,,),MATCH(C16,INDIRECT($C16),0))),TRUE,FALSE)</formula>
    </cfRule>
  </conditionalFormatting>
  <conditionalFormatting sqref="H16:H18">
    <cfRule type="expression" priority="1" dxfId="2" stopIfTrue="1">
      <formula>IF(AND(E16="Énergie",H16="",IF(F16&lt;&gt;"",INDEX(OFFSET(Énergie,,8,,),MATCH(F16,Énergie,0))&lt;&gt;"",FALSE)),TRUE,FALSE)</formula>
    </cfRule>
    <cfRule type="expression" priority="2" dxfId="1" stopIfTrue="1">
      <formula>IF(AND(E16="Énergie",H16&lt;&gt;"",IF(F16&lt;&gt;"",INDEX(OFFSET(Énergie,,8,,),MATCH(F16,Énergie,0))&lt;&gt;"",FALSE)),TRUE,FALSE)</formula>
    </cfRule>
    <cfRule type="expression" priority="3" dxfId="0" stopIfTrue="1">
      <formula>IF(OR(E16&lt;&gt;"Énergie",AND(E16="Énergie",IF(F16&lt;&gt;"",INDEX(OFFSET(Énergie,,8,,),MATCH(F16,Énergie,0))&lt;&gt;"",FALSE))),TRUE,FALSE)</formula>
    </cfRule>
  </conditionalFormatting>
  <dataValidations count="7">
    <dataValidation type="list" allowBlank="1" showInputMessage="1" showErrorMessage="1" sqref="AC16:AC49">
      <formula1>Action</formula1>
    </dataValidation>
    <dataValidation type="list" allowBlank="1" showInputMessage="1" showErrorMessage="1" sqref="AA16:AA49">
      <formula1>Recom</formula1>
    </dataValidation>
    <dataValidation type="list" allowBlank="1" showInputMessage="1" showErrorMessage="1" sqref="E16:E49">
      <formula1>Type_emission</formula1>
    </dataValidation>
    <dataValidation type="list" allowBlank="1" showInputMessage="1" showErrorMessage="1" sqref="AE16:AE49">
      <formula1>Aide_dem</formula1>
    </dataValidation>
    <dataValidation type="list" allowBlank="1" showInputMessage="1" showErrorMessage="1" sqref="V16:V49">
      <formula1>Fin_autre</formula1>
    </dataValidation>
    <dataValidation type="list" allowBlank="1" showInputMessage="1" showErrorMessage="1" sqref="F16">
      <formula1>IF(E16="Énergie",Énergie,"")</formula1>
    </dataValidation>
    <dataValidation type="list" allowBlank="1" showInputMessage="1" showErrorMessage="1" sqref="F17">
      <formula1>IF(E17="Énergie",Énergie,"")</formula1>
    </dataValidation>
  </dataValidations>
  <printOptions horizontalCentered="1"/>
  <pageMargins left="0.1968503937007874" right="0.1968503937007874" top="0.3937007874015748" bottom="0.3937007874015748" header="0.1968503937007874" footer="0.15748031496062992"/>
  <pageSetup fitToHeight="1" fitToWidth="1" horizontalDpi="600" verticalDpi="600" orientation="landscape" paperSize="5" r:id="rId2"/>
  <headerFooter alignWithMargins="0">
    <oddFooter>&amp;LMinistère de l’Énergie et des Ressources naturelles</oddFooter>
  </headerFooter>
  <drawing r:id="rId1"/>
</worksheet>
</file>

<file path=xl/worksheets/sheet6.xml><?xml version="1.0" encoding="utf-8"?>
<worksheet xmlns="http://schemas.openxmlformats.org/spreadsheetml/2006/main" xmlns:r="http://schemas.openxmlformats.org/officeDocument/2006/relationships">
  <sheetPr codeName="Feuil5">
    <pageSetUpPr fitToPage="1"/>
  </sheetPr>
  <dimension ref="A3:AA201"/>
  <sheetViews>
    <sheetView showGridLines="0" showRowColHeaders="0" showOutlineSymbols="0" zoomScalePageLayoutView="0" workbookViewId="0" topLeftCell="A20">
      <selection activeCell="E61" sqref="E61"/>
    </sheetView>
  </sheetViews>
  <sheetFormatPr defaultColWidth="11.421875" defaultRowHeight="15"/>
  <cols>
    <col min="1" max="1" width="26.7109375" style="336" customWidth="1"/>
    <col min="2" max="2" width="40.57421875" style="336" customWidth="1"/>
    <col min="3" max="4" width="16.28125" style="336" customWidth="1"/>
    <col min="5" max="6" width="16.28125" style="337" customWidth="1"/>
    <col min="7" max="7" width="16.28125" style="336" customWidth="1"/>
    <col min="8" max="9" width="16.28125" style="337" customWidth="1"/>
    <col min="10" max="10" width="17.421875" style="337" customWidth="1"/>
    <col min="11" max="12" width="16.28125" style="337" customWidth="1"/>
    <col min="13" max="13" width="10.57421875" style="339" customWidth="1"/>
    <col min="14" max="14" width="10.57421875" style="338" customWidth="1"/>
    <col min="15" max="15" width="16.28125" style="337" customWidth="1"/>
    <col min="16" max="16" width="10.57421875" style="339" customWidth="1"/>
    <col min="17" max="17" width="10.57421875" style="338" customWidth="1"/>
    <col min="18" max="18" width="16.28125" style="337" customWidth="1"/>
    <col min="19" max="19" width="37.57421875" style="336" customWidth="1"/>
    <col min="20" max="16384" width="11.421875" style="336" customWidth="1"/>
  </cols>
  <sheetData>
    <row r="3" spans="2:27" ht="27" customHeight="1">
      <c r="B3" s="429" t="s">
        <v>1050</v>
      </c>
      <c r="U3" s="416"/>
      <c r="V3" s="925" t="s">
        <v>1049</v>
      </c>
      <c r="W3" s="925"/>
      <c r="X3" s="925"/>
      <c r="Y3" s="925" t="s">
        <v>1048</v>
      </c>
      <c r="Z3" s="925"/>
      <c r="AA3" s="925"/>
    </row>
    <row r="4" spans="21:27" ht="12.75" customHeight="1">
      <c r="U4" s="416"/>
      <c r="V4" s="416" t="s">
        <v>1047</v>
      </c>
      <c r="W4" s="416" t="s">
        <v>1046</v>
      </c>
      <c r="X4" s="416" t="s">
        <v>1045</v>
      </c>
      <c r="Y4" s="416" t="s">
        <v>1047</v>
      </c>
      <c r="Z4" s="416" t="s">
        <v>1046</v>
      </c>
      <c r="AA4" s="416" t="s">
        <v>1045</v>
      </c>
    </row>
    <row r="5" spans="1:27" ht="26.25">
      <c r="A5" s="428"/>
      <c r="U5" s="416" t="str">
        <f>A16</f>
        <v>A. Acquisition équipement/matériel</v>
      </c>
      <c r="V5" s="415">
        <f>F28</f>
        <v>0</v>
      </c>
      <c r="W5" s="415">
        <f>E28</f>
        <v>0</v>
      </c>
      <c r="X5" s="415">
        <f aca="true" t="shared" si="0" ref="X5:X10">V5+W5</f>
        <v>0</v>
      </c>
      <c r="Y5" s="415">
        <f>I28</f>
        <v>0</v>
      </c>
      <c r="Z5" s="415">
        <f>H28</f>
        <v>0</v>
      </c>
      <c r="AA5" s="415">
        <f aca="true" t="shared" si="1" ref="AA5:AA10">Y5+Z5</f>
        <v>0</v>
      </c>
    </row>
    <row r="6" spans="1:27" ht="15" customHeight="1">
      <c r="A6" s="428"/>
      <c r="U6" s="416" t="str">
        <f>A30</f>
        <v>B. Acquisition de l'équipement de mesurage</v>
      </c>
      <c r="V6" s="415">
        <f>F40</f>
        <v>0</v>
      </c>
      <c r="W6" s="415">
        <f>E40</f>
        <v>0</v>
      </c>
      <c r="X6" s="415">
        <f t="shared" si="0"/>
        <v>0</v>
      </c>
      <c r="Y6" s="415">
        <f>I40</f>
        <v>0</v>
      </c>
      <c r="Z6" s="415">
        <f>H40</f>
        <v>0</v>
      </c>
      <c r="AA6" s="415">
        <f t="shared" si="1"/>
        <v>0</v>
      </c>
    </row>
    <row r="7" spans="1:27" ht="12.75">
      <c r="A7" s="426" t="s">
        <v>650</v>
      </c>
      <c r="B7" s="946">
        <f>IF('1. Demande'!H11="","",'1. Demande'!H11)</f>
      </c>
      <c r="C7" s="946"/>
      <c r="D7" s="424"/>
      <c r="E7" s="425"/>
      <c r="F7" s="425"/>
      <c r="G7" s="424"/>
      <c r="H7" s="422"/>
      <c r="I7" s="422"/>
      <c r="K7" s="427" t="s">
        <v>1044</v>
      </c>
      <c r="L7" s="953" t="str">
        <f>IF('2. Plan d''implantation'!AB8="","",'2. Plan d''implantation'!AB8)</f>
        <v> </v>
      </c>
      <c r="M7" s="953"/>
      <c r="N7" s="953"/>
      <c r="O7" s="953"/>
      <c r="P7" s="953"/>
      <c r="U7" s="416" t="str">
        <f>A42</f>
        <v>C. Mesurage, quantification et vérification</v>
      </c>
      <c r="V7" s="415">
        <f>F48</f>
        <v>0</v>
      </c>
      <c r="W7" s="415">
        <f>E48</f>
        <v>0</v>
      </c>
      <c r="X7" s="415">
        <f t="shared" si="0"/>
        <v>0</v>
      </c>
      <c r="Y7" s="415">
        <f>I48</f>
        <v>0</v>
      </c>
      <c r="Z7" s="415">
        <f>H48</f>
        <v>0</v>
      </c>
      <c r="AA7" s="415">
        <f t="shared" si="1"/>
        <v>0</v>
      </c>
    </row>
    <row r="8" spans="1:27" ht="12.75">
      <c r="A8" s="426" t="s">
        <v>1043</v>
      </c>
      <c r="B8" s="954">
        <f>IF('2. Plan d''implantation'!C9="","",'2. Plan d''implantation'!C9)</f>
      </c>
      <c r="C8" s="954"/>
      <c r="D8" s="424"/>
      <c r="E8" s="425"/>
      <c r="F8" s="425"/>
      <c r="G8" s="424"/>
      <c r="H8" s="423"/>
      <c r="I8" s="423"/>
      <c r="O8" s="422"/>
      <c r="U8" s="416" t="str">
        <f>A50</f>
        <v>D. Ingénierie ou services professionnels</v>
      </c>
      <c r="V8" s="415">
        <f>F56</f>
        <v>0</v>
      </c>
      <c r="W8" s="415">
        <f>E56</f>
        <v>0</v>
      </c>
      <c r="X8" s="415">
        <f t="shared" si="0"/>
        <v>0</v>
      </c>
      <c r="Y8" s="415">
        <f>I56</f>
        <v>0</v>
      </c>
      <c r="Z8" s="415">
        <f>H56</f>
        <v>0</v>
      </c>
      <c r="AA8" s="415">
        <f t="shared" si="1"/>
        <v>0</v>
      </c>
    </row>
    <row r="9" spans="1:27" ht="12.75">
      <c r="A9" s="426" t="s">
        <v>1042</v>
      </c>
      <c r="B9" s="954"/>
      <c r="C9" s="954"/>
      <c r="D9" s="424"/>
      <c r="E9" s="425"/>
      <c r="F9" s="425"/>
      <c r="G9" s="424"/>
      <c r="H9" s="423"/>
      <c r="I9" s="423"/>
      <c r="O9" s="422"/>
      <c r="U9" s="416" t="str">
        <f>A58</f>
        <v>E. Installation et mise en fonction</v>
      </c>
      <c r="V9" s="415">
        <f>F64</f>
        <v>0</v>
      </c>
      <c r="W9" s="415">
        <f>E64</f>
        <v>0</v>
      </c>
      <c r="X9" s="415">
        <f t="shared" si="0"/>
        <v>0</v>
      </c>
      <c r="Y9" s="415">
        <f>I64</f>
        <v>0</v>
      </c>
      <c r="Z9" s="415">
        <f>H64</f>
        <v>0</v>
      </c>
      <c r="AA9" s="415">
        <f t="shared" si="1"/>
        <v>0</v>
      </c>
    </row>
    <row r="10" spans="1:27" ht="10.5" customHeight="1">
      <c r="A10" s="421"/>
      <c r="B10" s="417"/>
      <c r="C10" s="417"/>
      <c r="D10" s="417"/>
      <c r="E10" s="418"/>
      <c r="F10" s="418"/>
      <c r="G10" s="417"/>
      <c r="H10" s="418"/>
      <c r="I10" s="418"/>
      <c r="J10" s="418"/>
      <c r="K10" s="418"/>
      <c r="L10" s="418"/>
      <c r="M10" s="420"/>
      <c r="N10" s="419"/>
      <c r="O10" s="418"/>
      <c r="P10" s="420"/>
      <c r="Q10" s="419"/>
      <c r="R10" s="418"/>
      <c r="S10" s="417"/>
      <c r="U10" s="416" t="str">
        <f>A66</f>
        <v>F. Contingences</v>
      </c>
      <c r="V10" s="415">
        <f>F71</f>
        <v>0</v>
      </c>
      <c r="W10" s="415">
        <f>E71</f>
        <v>0</v>
      </c>
      <c r="X10" s="415">
        <f t="shared" si="0"/>
        <v>0</v>
      </c>
      <c r="Y10" s="415">
        <f>I71</f>
        <v>0</v>
      </c>
      <c r="Z10" s="415">
        <f>H71</f>
        <v>0</v>
      </c>
      <c r="AA10" s="415">
        <f t="shared" si="1"/>
        <v>0</v>
      </c>
    </row>
    <row r="11" spans="1:19" ht="13.5" customHeight="1" thickBot="1">
      <c r="A11" s="411"/>
      <c r="B11" s="411"/>
      <c r="C11" s="411"/>
      <c r="D11" s="411"/>
      <c r="E11" s="412"/>
      <c r="F11" s="412"/>
      <c r="G11" s="411"/>
      <c r="H11" s="412"/>
      <c r="I11" s="412"/>
      <c r="J11" s="412"/>
      <c r="K11" s="412"/>
      <c r="L11" s="412"/>
      <c r="M11" s="414"/>
      <c r="N11" s="413"/>
      <c r="O11" s="412"/>
      <c r="P11" s="414"/>
      <c r="Q11" s="413"/>
      <c r="R11" s="412"/>
      <c r="S11" s="411"/>
    </row>
    <row r="12" spans="1:19" ht="22.5" customHeight="1" thickBot="1">
      <c r="A12" s="947" t="s">
        <v>1041</v>
      </c>
      <c r="B12" s="948"/>
      <c r="C12" s="948"/>
      <c r="D12" s="948"/>
      <c r="E12" s="948"/>
      <c r="F12" s="948"/>
      <c r="G12" s="948"/>
      <c r="H12" s="948"/>
      <c r="I12" s="948"/>
      <c r="J12" s="949"/>
      <c r="K12" s="948" t="s">
        <v>1040</v>
      </c>
      <c r="L12" s="948"/>
      <c r="M12" s="948"/>
      <c r="N12" s="948"/>
      <c r="O12" s="948"/>
      <c r="P12" s="948"/>
      <c r="Q12" s="948"/>
      <c r="R12" s="948"/>
      <c r="S12" s="955"/>
    </row>
    <row r="13" spans="1:19" ht="13.5" customHeight="1" thickBot="1">
      <c r="A13" s="409">
        <v>1</v>
      </c>
      <c r="B13" s="409">
        <v>2</v>
      </c>
      <c r="C13" s="409">
        <v>3</v>
      </c>
      <c r="D13" s="940">
        <v>4</v>
      </c>
      <c r="E13" s="941"/>
      <c r="F13" s="942"/>
      <c r="G13" s="932">
        <v>5</v>
      </c>
      <c r="H13" s="933"/>
      <c r="I13" s="933"/>
      <c r="J13" s="410">
        <v>6</v>
      </c>
      <c r="K13" s="941">
        <v>7</v>
      </c>
      <c r="L13" s="942"/>
      <c r="M13" s="940">
        <v>8</v>
      </c>
      <c r="N13" s="941"/>
      <c r="O13" s="942"/>
      <c r="P13" s="940">
        <v>9</v>
      </c>
      <c r="Q13" s="941"/>
      <c r="R13" s="942"/>
      <c r="S13" s="409">
        <v>10</v>
      </c>
    </row>
    <row r="14" spans="1:19" ht="12.75">
      <c r="A14" s="959" t="s">
        <v>1039</v>
      </c>
      <c r="B14" s="961" t="s">
        <v>1038</v>
      </c>
      <c r="C14" s="408" t="s">
        <v>1037</v>
      </c>
      <c r="D14" s="934" t="s">
        <v>1036</v>
      </c>
      <c r="E14" s="935"/>
      <c r="F14" s="936"/>
      <c r="G14" s="937" t="s">
        <v>1035</v>
      </c>
      <c r="H14" s="938"/>
      <c r="I14" s="939"/>
      <c r="J14" s="969" t="s">
        <v>1034</v>
      </c>
      <c r="K14" s="956" t="s">
        <v>1033</v>
      </c>
      <c r="L14" s="956"/>
      <c r="M14" s="950" t="s">
        <v>1032</v>
      </c>
      <c r="N14" s="951"/>
      <c r="O14" s="952"/>
      <c r="P14" s="937" t="s">
        <v>1031</v>
      </c>
      <c r="Q14" s="938"/>
      <c r="R14" s="939"/>
      <c r="S14" s="963" t="s">
        <v>1030</v>
      </c>
    </row>
    <row r="15" spans="1:19" ht="42.75" customHeight="1">
      <c r="A15" s="960"/>
      <c r="B15" s="962"/>
      <c r="C15" s="407" t="s">
        <v>1029</v>
      </c>
      <c r="D15" s="405" t="s">
        <v>1028</v>
      </c>
      <c r="E15" s="404" t="s">
        <v>1027</v>
      </c>
      <c r="F15" s="406" t="s">
        <v>1026</v>
      </c>
      <c r="G15" s="405" t="s">
        <v>1028</v>
      </c>
      <c r="H15" s="404" t="s">
        <v>1027</v>
      </c>
      <c r="I15" s="403" t="s">
        <v>1026</v>
      </c>
      <c r="J15" s="970"/>
      <c r="K15" s="402" t="s">
        <v>1027</v>
      </c>
      <c r="L15" s="401" t="s">
        <v>1026</v>
      </c>
      <c r="M15" s="400" t="s">
        <v>1025</v>
      </c>
      <c r="N15" s="398" t="s">
        <v>1024</v>
      </c>
      <c r="O15" s="397" t="s">
        <v>1023</v>
      </c>
      <c r="P15" s="399" t="s">
        <v>1022</v>
      </c>
      <c r="Q15" s="398" t="s">
        <v>35</v>
      </c>
      <c r="R15" s="397" t="s">
        <v>1021</v>
      </c>
      <c r="S15" s="964"/>
    </row>
    <row r="16" spans="1:19" ht="12.75">
      <c r="A16" s="943" t="s">
        <v>38</v>
      </c>
      <c r="B16" s="944"/>
      <c r="C16" s="944"/>
      <c r="D16" s="944"/>
      <c r="E16" s="944"/>
      <c r="F16" s="944"/>
      <c r="G16" s="944"/>
      <c r="H16" s="944"/>
      <c r="I16" s="944"/>
      <c r="J16" s="944"/>
      <c r="K16" s="944"/>
      <c r="L16" s="944"/>
      <c r="M16" s="944"/>
      <c r="N16" s="944"/>
      <c r="O16" s="944"/>
      <c r="P16" s="944"/>
      <c r="Q16" s="944"/>
      <c r="R16" s="944"/>
      <c r="S16" s="945"/>
    </row>
    <row r="17" spans="1:19" ht="12.75">
      <c r="A17" s="510"/>
      <c r="B17" s="511"/>
      <c r="C17" s="512"/>
      <c r="D17" s="512"/>
      <c r="E17" s="513"/>
      <c r="F17" s="513"/>
      <c r="G17" s="512"/>
      <c r="H17" s="514"/>
      <c r="I17" s="515"/>
      <c r="J17" s="391">
        <f aca="true" t="shared" si="2" ref="J17:J27">(H17+I17)-(E17+F17)</f>
        <v>0</v>
      </c>
      <c r="K17" s="516"/>
      <c r="L17" s="515"/>
      <c r="M17" s="517"/>
      <c r="N17" s="518"/>
      <c r="O17" s="514"/>
      <c r="P17" s="519"/>
      <c r="Q17" s="518"/>
      <c r="R17" s="520"/>
      <c r="S17" s="521"/>
    </row>
    <row r="18" spans="1:19" ht="12.75">
      <c r="A18" s="522"/>
      <c r="B18" s="523"/>
      <c r="C18" s="524"/>
      <c r="D18" s="524"/>
      <c r="E18" s="525"/>
      <c r="F18" s="525"/>
      <c r="G18" s="524"/>
      <c r="H18" s="525"/>
      <c r="I18" s="526"/>
      <c r="J18" s="371">
        <f t="shared" si="2"/>
        <v>0</v>
      </c>
      <c r="K18" s="520"/>
      <c r="L18" s="526"/>
      <c r="M18" s="527"/>
      <c r="N18" s="528"/>
      <c r="O18" s="525"/>
      <c r="P18" s="519"/>
      <c r="Q18" s="528"/>
      <c r="R18" s="520"/>
      <c r="S18" s="521"/>
    </row>
    <row r="19" spans="1:19" ht="12.75">
      <c r="A19" s="522"/>
      <c r="B19" s="523"/>
      <c r="C19" s="524"/>
      <c r="D19" s="524"/>
      <c r="E19" s="525"/>
      <c r="F19" s="525"/>
      <c r="G19" s="524"/>
      <c r="H19" s="525"/>
      <c r="I19" s="526"/>
      <c r="J19" s="371">
        <f t="shared" si="2"/>
        <v>0</v>
      </c>
      <c r="K19" s="520"/>
      <c r="L19" s="526"/>
      <c r="M19" s="527"/>
      <c r="N19" s="528"/>
      <c r="O19" s="525"/>
      <c r="P19" s="519"/>
      <c r="Q19" s="528"/>
      <c r="R19" s="520"/>
      <c r="S19" s="521"/>
    </row>
    <row r="20" spans="1:19" ht="12.75">
      <c r="A20" s="522"/>
      <c r="B20" s="523"/>
      <c r="C20" s="524"/>
      <c r="D20" s="524"/>
      <c r="E20" s="525"/>
      <c r="F20" s="525"/>
      <c r="G20" s="524"/>
      <c r="H20" s="525"/>
      <c r="I20" s="526"/>
      <c r="J20" s="371">
        <f t="shared" si="2"/>
        <v>0</v>
      </c>
      <c r="K20" s="520"/>
      <c r="L20" s="526"/>
      <c r="M20" s="527"/>
      <c r="N20" s="528"/>
      <c r="O20" s="525"/>
      <c r="P20" s="519"/>
      <c r="Q20" s="528"/>
      <c r="R20" s="520"/>
      <c r="S20" s="521"/>
    </row>
    <row r="21" spans="1:19" ht="12.75">
      <c r="A21" s="522"/>
      <c r="B21" s="523"/>
      <c r="C21" s="524"/>
      <c r="D21" s="524"/>
      <c r="E21" s="525"/>
      <c r="F21" s="525"/>
      <c r="G21" s="524"/>
      <c r="H21" s="525"/>
      <c r="I21" s="526"/>
      <c r="J21" s="371">
        <f t="shared" si="2"/>
        <v>0</v>
      </c>
      <c r="K21" s="520"/>
      <c r="L21" s="526"/>
      <c r="M21" s="527"/>
      <c r="N21" s="528"/>
      <c r="O21" s="525"/>
      <c r="P21" s="519"/>
      <c r="Q21" s="528"/>
      <c r="R21" s="520"/>
      <c r="S21" s="521"/>
    </row>
    <row r="22" spans="1:19" ht="12.75">
      <c r="A22" s="522"/>
      <c r="B22" s="523"/>
      <c r="C22" s="524"/>
      <c r="D22" s="524"/>
      <c r="E22" s="525"/>
      <c r="F22" s="525"/>
      <c r="G22" s="524"/>
      <c r="H22" s="525"/>
      <c r="I22" s="526"/>
      <c r="J22" s="371">
        <f t="shared" si="2"/>
        <v>0</v>
      </c>
      <c r="K22" s="520"/>
      <c r="L22" s="526"/>
      <c r="M22" s="527"/>
      <c r="N22" s="528"/>
      <c r="O22" s="525"/>
      <c r="P22" s="519"/>
      <c r="Q22" s="528"/>
      <c r="R22" s="520"/>
      <c r="S22" s="521"/>
    </row>
    <row r="23" spans="1:19" ht="12.75">
      <c r="A23" s="522"/>
      <c r="B23" s="523"/>
      <c r="C23" s="524"/>
      <c r="D23" s="524"/>
      <c r="E23" s="525"/>
      <c r="F23" s="525"/>
      <c r="G23" s="524"/>
      <c r="H23" s="525"/>
      <c r="I23" s="526"/>
      <c r="J23" s="371">
        <f t="shared" si="2"/>
        <v>0</v>
      </c>
      <c r="K23" s="520"/>
      <c r="L23" s="526"/>
      <c r="M23" s="527"/>
      <c r="N23" s="528"/>
      <c r="O23" s="525"/>
      <c r="P23" s="519"/>
      <c r="Q23" s="528"/>
      <c r="R23" s="520"/>
      <c r="S23" s="521"/>
    </row>
    <row r="24" spans="1:19" ht="12.75">
      <c r="A24" s="522"/>
      <c r="B24" s="523"/>
      <c r="C24" s="524"/>
      <c r="D24" s="524"/>
      <c r="E24" s="525"/>
      <c r="F24" s="525"/>
      <c r="G24" s="524"/>
      <c r="H24" s="525"/>
      <c r="I24" s="526"/>
      <c r="J24" s="371">
        <f t="shared" si="2"/>
        <v>0</v>
      </c>
      <c r="K24" s="520"/>
      <c r="L24" s="526"/>
      <c r="M24" s="527"/>
      <c r="N24" s="528"/>
      <c r="O24" s="525"/>
      <c r="P24" s="519"/>
      <c r="Q24" s="528"/>
      <c r="R24" s="520"/>
      <c r="S24" s="521"/>
    </row>
    <row r="25" spans="1:19" ht="12.75">
      <c r="A25" s="522"/>
      <c r="B25" s="523"/>
      <c r="C25" s="524"/>
      <c r="D25" s="524"/>
      <c r="E25" s="525"/>
      <c r="F25" s="525"/>
      <c r="G25" s="524"/>
      <c r="H25" s="525"/>
      <c r="I25" s="526"/>
      <c r="J25" s="371">
        <f t="shared" si="2"/>
        <v>0</v>
      </c>
      <c r="K25" s="520"/>
      <c r="L25" s="526"/>
      <c r="M25" s="527"/>
      <c r="N25" s="528"/>
      <c r="O25" s="525"/>
      <c r="P25" s="519"/>
      <c r="Q25" s="528"/>
      <c r="R25" s="520"/>
      <c r="S25" s="521"/>
    </row>
    <row r="26" spans="1:19" ht="12.75">
      <c r="A26" s="522"/>
      <c r="B26" s="523"/>
      <c r="C26" s="524"/>
      <c r="D26" s="524"/>
      <c r="E26" s="525"/>
      <c r="F26" s="525"/>
      <c r="G26" s="524"/>
      <c r="H26" s="525"/>
      <c r="I26" s="526"/>
      <c r="J26" s="371">
        <f t="shared" si="2"/>
        <v>0</v>
      </c>
      <c r="K26" s="520"/>
      <c r="L26" s="526"/>
      <c r="M26" s="527"/>
      <c r="N26" s="528"/>
      <c r="O26" s="525"/>
      <c r="P26" s="519"/>
      <c r="Q26" s="528"/>
      <c r="R26" s="520"/>
      <c r="S26" s="521"/>
    </row>
    <row r="27" spans="1:19" ht="13.5" thickBot="1">
      <c r="A27" s="522"/>
      <c r="B27" s="523"/>
      <c r="C27" s="529"/>
      <c r="D27" s="529"/>
      <c r="E27" s="530"/>
      <c r="F27" s="530"/>
      <c r="G27" s="529"/>
      <c r="H27" s="525"/>
      <c r="I27" s="526"/>
      <c r="J27" s="371">
        <f t="shared" si="2"/>
        <v>0</v>
      </c>
      <c r="K27" s="520"/>
      <c r="L27" s="526"/>
      <c r="M27" s="527"/>
      <c r="N27" s="528"/>
      <c r="O27" s="525"/>
      <c r="P27" s="519"/>
      <c r="Q27" s="528"/>
      <c r="R27" s="520"/>
      <c r="S27" s="521"/>
    </row>
    <row r="28" spans="1:19" ht="13.5" customHeight="1" thickTop="1">
      <c r="A28" s="383" t="s">
        <v>1020</v>
      </c>
      <c r="B28" s="382"/>
      <c r="E28" s="380">
        <f>SUM(E17:E27)</f>
        <v>0</v>
      </c>
      <c r="F28" s="380">
        <f>SUM(F17:F27)</f>
        <v>0</v>
      </c>
      <c r="G28" s="392"/>
      <c r="H28" s="380">
        <f>SUM(H17:H27)</f>
        <v>0</v>
      </c>
      <c r="I28" s="380">
        <f>SUM(I17:I27)</f>
        <v>0</v>
      </c>
      <c r="J28" s="381">
        <f>SUM(J17:J27)</f>
        <v>0</v>
      </c>
      <c r="K28" s="380">
        <f>SUM(K17:K27)</f>
        <v>0</v>
      </c>
      <c r="L28" s="379">
        <f>SUM(L17:L27)</f>
        <v>0</v>
      </c>
      <c r="M28" s="378"/>
      <c r="N28" s="376"/>
      <c r="O28" s="375">
        <f>SUM(O17:O27)</f>
        <v>0</v>
      </c>
      <c r="P28" s="377"/>
      <c r="Q28" s="376"/>
      <c r="R28" s="375">
        <f>SUM(R17:R27)</f>
        <v>0</v>
      </c>
      <c r="S28" s="374"/>
    </row>
    <row r="29" spans="1:19" ht="4.5" customHeight="1">
      <c r="A29" s="390"/>
      <c r="E29" s="387"/>
      <c r="F29" s="387"/>
      <c r="G29" s="396"/>
      <c r="H29" s="367"/>
      <c r="I29" s="372"/>
      <c r="J29" s="389"/>
      <c r="K29" s="386"/>
      <c r="L29" s="395"/>
      <c r="M29" s="388"/>
      <c r="N29" s="368"/>
      <c r="O29" s="387"/>
      <c r="Q29" s="368"/>
      <c r="R29" s="386"/>
      <c r="S29" s="366"/>
    </row>
    <row r="30" spans="1:19" ht="12.75">
      <c r="A30" s="943" t="s">
        <v>524</v>
      </c>
      <c r="B30" s="944"/>
      <c r="C30" s="944"/>
      <c r="D30" s="944"/>
      <c r="E30" s="944"/>
      <c r="F30" s="944"/>
      <c r="G30" s="944"/>
      <c r="H30" s="944"/>
      <c r="I30" s="944"/>
      <c r="J30" s="944"/>
      <c r="K30" s="944"/>
      <c r="L30" s="944"/>
      <c r="M30" s="944"/>
      <c r="N30" s="944"/>
      <c r="O30" s="944"/>
      <c r="P30" s="944"/>
      <c r="Q30" s="944"/>
      <c r="R30" s="944"/>
      <c r="S30" s="945"/>
    </row>
    <row r="31" spans="1:19" ht="12.75">
      <c r="A31" s="510"/>
      <c r="B31" s="523"/>
      <c r="C31" s="531"/>
      <c r="D31" s="531"/>
      <c r="E31" s="514"/>
      <c r="F31" s="514"/>
      <c r="G31" s="531"/>
      <c r="H31" s="514"/>
      <c r="I31" s="515"/>
      <c r="J31" s="391">
        <f aca="true" t="shared" si="3" ref="J31:J39">(H31+I31)-(E31+F31)</f>
        <v>0</v>
      </c>
      <c r="K31" s="516"/>
      <c r="L31" s="515"/>
      <c r="M31" s="517"/>
      <c r="N31" s="518"/>
      <c r="O31" s="514"/>
      <c r="P31" s="519"/>
      <c r="Q31" s="518"/>
      <c r="R31" s="520"/>
      <c r="S31" s="521"/>
    </row>
    <row r="32" spans="1:19" ht="12.75">
      <c r="A32" s="522"/>
      <c r="B32" s="523"/>
      <c r="C32" s="524"/>
      <c r="D32" s="524"/>
      <c r="E32" s="525"/>
      <c r="F32" s="525"/>
      <c r="G32" s="524"/>
      <c r="H32" s="525"/>
      <c r="I32" s="526"/>
      <c r="J32" s="371">
        <f t="shared" si="3"/>
        <v>0</v>
      </c>
      <c r="K32" s="520"/>
      <c r="L32" s="526"/>
      <c r="M32" s="527"/>
      <c r="N32" s="528"/>
      <c r="O32" s="525"/>
      <c r="P32" s="519"/>
      <c r="Q32" s="528"/>
      <c r="R32" s="520"/>
      <c r="S32" s="521"/>
    </row>
    <row r="33" spans="1:19" ht="12.75">
      <c r="A33" s="522"/>
      <c r="B33" s="523"/>
      <c r="C33" s="524"/>
      <c r="D33" s="524"/>
      <c r="E33" s="525"/>
      <c r="F33" s="525"/>
      <c r="G33" s="524"/>
      <c r="H33" s="525"/>
      <c r="I33" s="526"/>
      <c r="J33" s="371">
        <f t="shared" si="3"/>
        <v>0</v>
      </c>
      <c r="K33" s="520"/>
      <c r="L33" s="526"/>
      <c r="M33" s="527"/>
      <c r="N33" s="528"/>
      <c r="O33" s="525"/>
      <c r="P33" s="519"/>
      <c r="Q33" s="528"/>
      <c r="R33" s="520"/>
      <c r="S33" s="521"/>
    </row>
    <row r="34" spans="1:19" ht="12.75">
      <c r="A34" s="522"/>
      <c r="B34" s="523"/>
      <c r="C34" s="524"/>
      <c r="D34" s="524"/>
      <c r="E34" s="525"/>
      <c r="F34" s="525"/>
      <c r="G34" s="524"/>
      <c r="H34" s="525"/>
      <c r="I34" s="526"/>
      <c r="J34" s="371">
        <f t="shared" si="3"/>
        <v>0</v>
      </c>
      <c r="K34" s="520"/>
      <c r="L34" s="526"/>
      <c r="M34" s="527"/>
      <c r="N34" s="528"/>
      <c r="O34" s="525"/>
      <c r="P34" s="519"/>
      <c r="Q34" s="528"/>
      <c r="R34" s="520"/>
      <c r="S34" s="521"/>
    </row>
    <row r="35" spans="1:19" ht="12.75">
      <c r="A35" s="522"/>
      <c r="B35" s="523"/>
      <c r="C35" s="524"/>
      <c r="D35" s="524"/>
      <c r="E35" s="525"/>
      <c r="F35" s="525"/>
      <c r="G35" s="524"/>
      <c r="H35" s="525"/>
      <c r="I35" s="526"/>
      <c r="J35" s="371">
        <f t="shared" si="3"/>
        <v>0</v>
      </c>
      <c r="K35" s="520"/>
      <c r="L35" s="526"/>
      <c r="M35" s="527"/>
      <c r="N35" s="528"/>
      <c r="O35" s="525"/>
      <c r="P35" s="519"/>
      <c r="Q35" s="528"/>
      <c r="R35" s="520"/>
      <c r="S35" s="521"/>
    </row>
    <row r="36" spans="1:19" ht="12.75">
      <c r="A36" s="522"/>
      <c r="B36" s="523"/>
      <c r="C36" s="524"/>
      <c r="D36" s="524"/>
      <c r="E36" s="525"/>
      <c r="F36" s="525"/>
      <c r="G36" s="524"/>
      <c r="H36" s="525"/>
      <c r="I36" s="526"/>
      <c r="J36" s="371">
        <f t="shared" si="3"/>
        <v>0</v>
      </c>
      <c r="K36" s="520"/>
      <c r="L36" s="526"/>
      <c r="M36" s="527"/>
      <c r="N36" s="528"/>
      <c r="O36" s="525"/>
      <c r="P36" s="519"/>
      <c r="Q36" s="528"/>
      <c r="R36" s="520"/>
      <c r="S36" s="521"/>
    </row>
    <row r="37" spans="1:19" ht="12.75">
      <c r="A37" s="522"/>
      <c r="B37" s="523"/>
      <c r="C37" s="524"/>
      <c r="D37" s="524"/>
      <c r="E37" s="525"/>
      <c r="F37" s="525"/>
      <c r="G37" s="524"/>
      <c r="H37" s="525"/>
      <c r="I37" s="526"/>
      <c r="J37" s="371">
        <f t="shared" si="3"/>
        <v>0</v>
      </c>
      <c r="K37" s="520"/>
      <c r="L37" s="526"/>
      <c r="M37" s="527"/>
      <c r="N37" s="528"/>
      <c r="O37" s="525"/>
      <c r="P37" s="519"/>
      <c r="Q37" s="528"/>
      <c r="R37" s="520"/>
      <c r="S37" s="521"/>
    </row>
    <row r="38" spans="1:19" ht="12.75">
      <c r="A38" s="522"/>
      <c r="B38" s="523"/>
      <c r="C38" s="524"/>
      <c r="D38" s="524"/>
      <c r="E38" s="525"/>
      <c r="F38" s="525"/>
      <c r="G38" s="524"/>
      <c r="H38" s="525"/>
      <c r="I38" s="526"/>
      <c r="J38" s="371">
        <f t="shared" si="3"/>
        <v>0</v>
      </c>
      <c r="K38" s="520"/>
      <c r="L38" s="526"/>
      <c r="M38" s="527"/>
      <c r="N38" s="528"/>
      <c r="O38" s="525"/>
      <c r="P38" s="519"/>
      <c r="Q38" s="528"/>
      <c r="R38" s="520"/>
      <c r="S38" s="521"/>
    </row>
    <row r="39" spans="1:19" ht="13.5" thickBot="1">
      <c r="A39" s="394"/>
      <c r="C39" s="393"/>
      <c r="D39" s="392"/>
      <c r="E39" s="369"/>
      <c r="F39" s="369"/>
      <c r="G39" s="392"/>
      <c r="H39" s="369"/>
      <c r="I39" s="372"/>
      <c r="J39" s="371">
        <f t="shared" si="3"/>
        <v>0</v>
      </c>
      <c r="K39" s="367"/>
      <c r="L39" s="372"/>
      <c r="M39" s="370"/>
      <c r="N39" s="368"/>
      <c r="O39" s="369"/>
      <c r="Q39" s="368"/>
      <c r="R39" s="367"/>
      <c r="S39" s="366"/>
    </row>
    <row r="40" spans="1:19" ht="13.5" thickTop="1">
      <c r="A40" s="383" t="s">
        <v>1020</v>
      </c>
      <c r="B40" s="382"/>
      <c r="C40" s="382"/>
      <c r="D40" s="382"/>
      <c r="E40" s="375">
        <f>SUM(E31:E39)</f>
        <v>0</v>
      </c>
      <c r="F40" s="375">
        <f>SUM(F31:F39)</f>
        <v>0</v>
      </c>
      <c r="G40" s="382"/>
      <c r="H40" s="375">
        <f>SUM(H31:H39)</f>
        <v>0</v>
      </c>
      <c r="I40" s="375">
        <f>SUM(I31:I39)</f>
        <v>0</v>
      </c>
      <c r="J40" s="381">
        <f>SUM(J31:J39)</f>
        <v>0</v>
      </c>
      <c r="K40" s="380">
        <f>SUM(K31:K39)</f>
        <v>0</v>
      </c>
      <c r="L40" s="379">
        <f>SUM(L31:L39)</f>
        <v>0</v>
      </c>
      <c r="M40" s="378"/>
      <c r="N40" s="376"/>
      <c r="O40" s="375">
        <f>SUM(O31:O39)</f>
        <v>0</v>
      </c>
      <c r="P40" s="377"/>
      <c r="Q40" s="376"/>
      <c r="R40" s="375">
        <f>SUM(R31:R39)</f>
        <v>0</v>
      </c>
      <c r="S40" s="374"/>
    </row>
    <row r="41" spans="1:19" ht="4.5" customHeight="1">
      <c r="A41" s="390"/>
      <c r="H41" s="369"/>
      <c r="I41" s="372"/>
      <c r="J41" s="389"/>
      <c r="K41" s="386"/>
      <c r="M41" s="388"/>
      <c r="N41" s="368"/>
      <c r="O41" s="387"/>
      <c r="Q41" s="368"/>
      <c r="R41" s="386"/>
      <c r="S41" s="366"/>
    </row>
    <row r="42" spans="1:19" ht="12.75">
      <c r="A42" s="943" t="s">
        <v>525</v>
      </c>
      <c r="B42" s="944"/>
      <c r="C42" s="944"/>
      <c r="D42" s="944"/>
      <c r="E42" s="944"/>
      <c r="F42" s="944"/>
      <c r="G42" s="944"/>
      <c r="H42" s="944"/>
      <c r="I42" s="944"/>
      <c r="J42" s="944"/>
      <c r="K42" s="944"/>
      <c r="L42" s="944"/>
      <c r="M42" s="944"/>
      <c r="N42" s="944"/>
      <c r="O42" s="944"/>
      <c r="P42" s="944"/>
      <c r="Q42" s="944"/>
      <c r="R42" s="944"/>
      <c r="S42" s="945"/>
    </row>
    <row r="43" spans="1:19" ht="12.75">
      <c r="A43" s="510"/>
      <c r="B43" s="523"/>
      <c r="C43" s="531"/>
      <c r="D43" s="531"/>
      <c r="E43" s="514"/>
      <c r="F43" s="514"/>
      <c r="G43" s="531"/>
      <c r="H43" s="514"/>
      <c r="I43" s="515"/>
      <c r="J43" s="391">
        <f>(H43+I43)-(E43+F43)</f>
        <v>0</v>
      </c>
      <c r="K43" s="516"/>
      <c r="L43" s="515"/>
      <c r="M43" s="517"/>
      <c r="N43" s="518"/>
      <c r="O43" s="514"/>
      <c r="P43" s="519"/>
      <c r="Q43" s="518"/>
      <c r="R43" s="520"/>
      <c r="S43" s="521"/>
    </row>
    <row r="44" spans="1:19" ht="12.75">
      <c r="A44" s="522"/>
      <c r="B44" s="523"/>
      <c r="C44" s="524"/>
      <c r="D44" s="524"/>
      <c r="E44" s="525"/>
      <c r="F44" s="525"/>
      <c r="G44" s="524"/>
      <c r="H44" s="525"/>
      <c r="I44" s="526"/>
      <c r="J44" s="371">
        <f>(H44+I44)-(E44+F44)</f>
        <v>0</v>
      </c>
      <c r="K44" s="520"/>
      <c r="L44" s="526"/>
      <c r="M44" s="527"/>
      <c r="N44" s="528"/>
      <c r="O44" s="525"/>
      <c r="P44" s="519"/>
      <c r="Q44" s="528"/>
      <c r="R44" s="520"/>
      <c r="S44" s="521"/>
    </row>
    <row r="45" spans="1:19" ht="12.75">
      <c r="A45" s="522"/>
      <c r="B45" s="523"/>
      <c r="C45" s="524"/>
      <c r="D45" s="524"/>
      <c r="E45" s="525"/>
      <c r="F45" s="525"/>
      <c r="G45" s="524"/>
      <c r="H45" s="525"/>
      <c r="I45" s="526"/>
      <c r="J45" s="371">
        <f>(H45+I45)-(E45+F45)</f>
        <v>0</v>
      </c>
      <c r="K45" s="520"/>
      <c r="L45" s="526"/>
      <c r="M45" s="527"/>
      <c r="N45" s="528"/>
      <c r="O45" s="525"/>
      <c r="P45" s="519"/>
      <c r="Q45" s="528"/>
      <c r="R45" s="520"/>
      <c r="S45" s="521"/>
    </row>
    <row r="46" spans="1:19" ht="12.75">
      <c r="A46" s="522"/>
      <c r="B46" s="523"/>
      <c r="C46" s="524"/>
      <c r="D46" s="524"/>
      <c r="E46" s="525"/>
      <c r="F46" s="525"/>
      <c r="G46" s="524"/>
      <c r="H46" s="525"/>
      <c r="I46" s="526"/>
      <c r="J46" s="371">
        <f>(H46+I46)-(E46+F46)</f>
        <v>0</v>
      </c>
      <c r="K46" s="520"/>
      <c r="L46" s="526"/>
      <c r="M46" s="527"/>
      <c r="N46" s="528"/>
      <c r="O46" s="525"/>
      <c r="P46" s="519"/>
      <c r="Q46" s="528"/>
      <c r="R46" s="520"/>
      <c r="S46" s="521"/>
    </row>
    <row r="47" spans="1:19" ht="13.5" thickBot="1">
      <c r="A47" s="522"/>
      <c r="B47" s="523"/>
      <c r="C47" s="529"/>
      <c r="D47" s="524"/>
      <c r="E47" s="525"/>
      <c r="F47" s="525"/>
      <c r="G47" s="524"/>
      <c r="H47" s="525"/>
      <c r="I47" s="526"/>
      <c r="J47" s="371">
        <f>(H47+I47)-(E47+F47)</f>
        <v>0</v>
      </c>
      <c r="K47" s="520"/>
      <c r="L47" s="526"/>
      <c r="M47" s="527"/>
      <c r="N47" s="528"/>
      <c r="O47" s="525"/>
      <c r="P47" s="519"/>
      <c r="Q47" s="528"/>
      <c r="R47" s="520"/>
      <c r="S47" s="521"/>
    </row>
    <row r="48" spans="1:19" ht="13.5" customHeight="1" thickTop="1">
      <c r="A48" s="383" t="s">
        <v>1020</v>
      </c>
      <c r="B48" s="382"/>
      <c r="C48" s="382"/>
      <c r="D48" s="382"/>
      <c r="E48" s="375">
        <f>SUM(E43:E47)</f>
        <v>0</v>
      </c>
      <c r="F48" s="375">
        <f>SUM(F43:F47)</f>
        <v>0</v>
      </c>
      <c r="G48" s="382"/>
      <c r="H48" s="375">
        <f>SUM(H43:H47)</f>
        <v>0</v>
      </c>
      <c r="I48" s="375">
        <f>SUM(I43:I47)</f>
        <v>0</v>
      </c>
      <c r="J48" s="381">
        <f>SUM(J43:J47)</f>
        <v>0</v>
      </c>
      <c r="K48" s="380">
        <f>SUM(K43:K47)</f>
        <v>0</v>
      </c>
      <c r="L48" s="379">
        <f>SUM(L43:L47)</f>
        <v>0</v>
      </c>
      <c r="M48" s="378"/>
      <c r="N48" s="376"/>
      <c r="O48" s="375">
        <f>SUM(O43:O47)</f>
        <v>0</v>
      </c>
      <c r="P48" s="377"/>
      <c r="Q48" s="376"/>
      <c r="R48" s="375">
        <f>SUM(R43:R47)</f>
        <v>0</v>
      </c>
      <c r="S48" s="374"/>
    </row>
    <row r="49" spans="1:19" ht="4.5" customHeight="1">
      <c r="A49" s="390"/>
      <c r="H49" s="369"/>
      <c r="I49" s="372"/>
      <c r="J49" s="389"/>
      <c r="K49" s="386"/>
      <c r="M49" s="388"/>
      <c r="N49" s="368"/>
      <c r="O49" s="387"/>
      <c r="Q49" s="368"/>
      <c r="R49" s="386"/>
      <c r="S49" s="366"/>
    </row>
    <row r="50" spans="1:19" ht="12.75">
      <c r="A50" s="943" t="s">
        <v>526</v>
      </c>
      <c r="B50" s="944"/>
      <c r="C50" s="944"/>
      <c r="D50" s="944"/>
      <c r="E50" s="944"/>
      <c r="F50" s="944"/>
      <c r="G50" s="944"/>
      <c r="H50" s="944"/>
      <c r="I50" s="944"/>
      <c r="J50" s="944"/>
      <c r="K50" s="944"/>
      <c r="L50" s="944"/>
      <c r="M50" s="944"/>
      <c r="N50" s="944"/>
      <c r="O50" s="944"/>
      <c r="P50" s="944"/>
      <c r="Q50" s="944"/>
      <c r="R50" s="944"/>
      <c r="S50" s="945"/>
    </row>
    <row r="51" spans="1:19" ht="12.75">
      <c r="A51" s="510"/>
      <c r="B51" s="523"/>
      <c r="C51" s="531"/>
      <c r="D51" s="531"/>
      <c r="E51" s="514">
        <f>'Rapport détaillé des coûts'!G38</f>
        <v>0</v>
      </c>
      <c r="F51" s="514">
        <f>'Rapport détaillé des coûts'!F38</f>
        <v>0</v>
      </c>
      <c r="G51" s="531"/>
      <c r="H51" s="514"/>
      <c r="I51" s="515"/>
      <c r="J51" s="391">
        <f>(H51+I51)-(E51+F51)</f>
        <v>0</v>
      </c>
      <c r="K51" s="516"/>
      <c r="L51" s="515"/>
      <c r="M51" s="517"/>
      <c r="N51" s="518"/>
      <c r="O51" s="514"/>
      <c r="P51" s="519"/>
      <c r="Q51" s="518"/>
      <c r="R51" s="520"/>
      <c r="S51" s="521"/>
    </row>
    <row r="52" spans="1:19" ht="12.75">
      <c r="A52" s="522"/>
      <c r="B52" s="523"/>
      <c r="C52" s="524"/>
      <c r="D52" s="524"/>
      <c r="E52" s="525"/>
      <c r="F52" s="525"/>
      <c r="G52" s="524"/>
      <c r="H52" s="525"/>
      <c r="I52" s="526"/>
      <c r="J52" s="371">
        <f>(H52+I52)-(E52+F52)</f>
        <v>0</v>
      </c>
      <c r="K52" s="520"/>
      <c r="L52" s="526"/>
      <c r="M52" s="527"/>
      <c r="N52" s="528"/>
      <c r="O52" s="525"/>
      <c r="P52" s="519"/>
      <c r="Q52" s="528"/>
      <c r="R52" s="520"/>
      <c r="S52" s="521"/>
    </row>
    <row r="53" spans="1:19" ht="12.75">
      <c r="A53" s="522"/>
      <c r="B53" s="523"/>
      <c r="C53" s="524"/>
      <c r="D53" s="524"/>
      <c r="E53" s="525"/>
      <c r="F53" s="525"/>
      <c r="G53" s="524"/>
      <c r="H53" s="525"/>
      <c r="I53" s="526"/>
      <c r="J53" s="371">
        <f>(H53+I53)-(E53+F53)</f>
        <v>0</v>
      </c>
      <c r="K53" s="520"/>
      <c r="L53" s="526"/>
      <c r="M53" s="527"/>
      <c r="N53" s="528"/>
      <c r="O53" s="525"/>
      <c r="P53" s="519"/>
      <c r="Q53" s="528"/>
      <c r="R53" s="520"/>
      <c r="S53" s="521"/>
    </row>
    <row r="54" spans="1:19" ht="12.75">
      <c r="A54" s="522"/>
      <c r="B54" s="523"/>
      <c r="C54" s="524"/>
      <c r="D54" s="524"/>
      <c r="E54" s="525"/>
      <c r="F54" s="525"/>
      <c r="G54" s="524"/>
      <c r="H54" s="525"/>
      <c r="I54" s="526"/>
      <c r="J54" s="371">
        <f>(H54+I54)-(E54+F54)</f>
        <v>0</v>
      </c>
      <c r="K54" s="520"/>
      <c r="L54" s="526"/>
      <c r="M54" s="527"/>
      <c r="N54" s="528"/>
      <c r="O54" s="525"/>
      <c r="P54" s="519"/>
      <c r="Q54" s="528"/>
      <c r="R54" s="520"/>
      <c r="S54" s="521"/>
    </row>
    <row r="55" spans="1:19" ht="13.5" thickBot="1">
      <c r="A55" s="522"/>
      <c r="B55" s="523"/>
      <c r="C55" s="529"/>
      <c r="D55" s="524"/>
      <c r="E55" s="525"/>
      <c r="F55" s="525"/>
      <c r="G55" s="524"/>
      <c r="H55" s="525"/>
      <c r="I55" s="526"/>
      <c r="J55" s="371">
        <f>(H55+I55)-(E55+F55)</f>
        <v>0</v>
      </c>
      <c r="K55" s="520"/>
      <c r="L55" s="526"/>
      <c r="M55" s="527"/>
      <c r="N55" s="528"/>
      <c r="O55" s="525"/>
      <c r="P55" s="519"/>
      <c r="Q55" s="528"/>
      <c r="R55" s="520"/>
      <c r="S55" s="521"/>
    </row>
    <row r="56" spans="1:19" ht="13.5" thickTop="1">
      <c r="A56" s="383" t="s">
        <v>1020</v>
      </c>
      <c r="B56" s="382"/>
      <c r="C56" s="382"/>
      <c r="D56" s="382"/>
      <c r="E56" s="375">
        <f>SUM(E51:E55)</f>
        <v>0</v>
      </c>
      <c r="F56" s="375">
        <f>SUM(F51:F55)</f>
        <v>0</v>
      </c>
      <c r="G56" s="382"/>
      <c r="H56" s="375">
        <f>SUM(H51:H55)</f>
        <v>0</v>
      </c>
      <c r="I56" s="375">
        <f>SUM(I51:I55)</f>
        <v>0</v>
      </c>
      <c r="J56" s="381">
        <f>SUM(J51:J55)</f>
        <v>0</v>
      </c>
      <c r="K56" s="380">
        <f>SUM(K51:K55)</f>
        <v>0</v>
      </c>
      <c r="L56" s="379">
        <f>SUM(L51:L55)</f>
        <v>0</v>
      </c>
      <c r="M56" s="378"/>
      <c r="N56" s="376"/>
      <c r="O56" s="375">
        <f>SUM(O51:O55)</f>
        <v>0</v>
      </c>
      <c r="P56" s="377"/>
      <c r="Q56" s="376"/>
      <c r="R56" s="375">
        <f>SUM(R51:R55)</f>
        <v>0</v>
      </c>
      <c r="S56" s="374"/>
    </row>
    <row r="57" spans="1:19" ht="4.5" customHeight="1">
      <c r="A57" s="390"/>
      <c r="H57" s="369"/>
      <c r="I57" s="372"/>
      <c r="J57" s="389"/>
      <c r="K57" s="386"/>
      <c r="M57" s="388"/>
      <c r="N57" s="368"/>
      <c r="O57" s="387"/>
      <c r="Q57" s="368"/>
      <c r="R57" s="386"/>
      <c r="S57" s="366"/>
    </row>
    <row r="58" spans="1:19" ht="12.75">
      <c r="A58" s="943" t="s">
        <v>527</v>
      </c>
      <c r="B58" s="944"/>
      <c r="C58" s="944"/>
      <c r="D58" s="944"/>
      <c r="E58" s="944"/>
      <c r="F58" s="944"/>
      <c r="G58" s="944"/>
      <c r="H58" s="944"/>
      <c r="I58" s="944"/>
      <c r="J58" s="944"/>
      <c r="K58" s="944"/>
      <c r="L58" s="944"/>
      <c r="M58" s="944"/>
      <c r="N58" s="944"/>
      <c r="O58" s="944"/>
      <c r="P58" s="944"/>
      <c r="Q58" s="944"/>
      <c r="R58" s="944"/>
      <c r="S58" s="945"/>
    </row>
    <row r="59" spans="1:19" ht="12.75">
      <c r="A59" s="532" t="s">
        <v>1117</v>
      </c>
      <c r="B59" s="523"/>
      <c r="C59" s="531"/>
      <c r="D59" s="531"/>
      <c r="E59" s="514">
        <f>'Rapport détaillé des coûts'!G20</f>
        <v>0</v>
      </c>
      <c r="F59" s="514">
        <f>'Rapport détaillé des coûts'!F20</f>
        <v>0</v>
      </c>
      <c r="G59" s="531"/>
      <c r="H59" s="514"/>
      <c r="I59" s="515"/>
      <c r="J59" s="391">
        <f>(H59+I59)-(E59+F59)</f>
        <v>0</v>
      </c>
      <c r="K59" s="516"/>
      <c r="L59" s="515"/>
      <c r="M59" s="517"/>
      <c r="N59" s="518"/>
      <c r="O59" s="514"/>
      <c r="P59" s="533"/>
      <c r="Q59" s="518"/>
      <c r="R59" s="514"/>
      <c r="S59" s="534"/>
    </row>
    <row r="60" spans="1:19" ht="12.75">
      <c r="A60" s="535"/>
      <c r="B60" s="523"/>
      <c r="C60" s="524"/>
      <c r="D60" s="524"/>
      <c r="E60" s="525">
        <f>'Rapport détaillé des coûts'!G31</f>
        <v>0</v>
      </c>
      <c r="F60" s="525">
        <f>'Rapport détaillé des coûts'!F31</f>
        <v>0</v>
      </c>
      <c r="G60" s="524"/>
      <c r="H60" s="525"/>
      <c r="I60" s="526"/>
      <c r="J60" s="371">
        <f>(H60+I60)-(E60+F60)</f>
        <v>0</v>
      </c>
      <c r="K60" s="520"/>
      <c r="L60" s="526"/>
      <c r="M60" s="527"/>
      <c r="N60" s="528"/>
      <c r="O60" s="525"/>
      <c r="P60" s="519"/>
      <c r="Q60" s="528"/>
      <c r="R60" s="525"/>
      <c r="S60" s="521"/>
    </row>
    <row r="61" spans="1:19" ht="12.75">
      <c r="A61" s="535"/>
      <c r="B61" s="523"/>
      <c r="C61" s="524"/>
      <c r="D61" s="524"/>
      <c r="E61" s="525"/>
      <c r="F61" s="525"/>
      <c r="G61" s="524"/>
      <c r="H61" s="525"/>
      <c r="I61" s="526"/>
      <c r="J61" s="371">
        <f>(H61+I61)-(E61+F61)</f>
        <v>0</v>
      </c>
      <c r="K61" s="520"/>
      <c r="L61" s="526"/>
      <c r="M61" s="527"/>
      <c r="N61" s="528"/>
      <c r="O61" s="525"/>
      <c r="P61" s="519"/>
      <c r="Q61" s="528"/>
      <c r="R61" s="525"/>
      <c r="S61" s="521"/>
    </row>
    <row r="62" spans="1:19" ht="12.75">
      <c r="A62" s="535"/>
      <c r="B62" s="523"/>
      <c r="C62" s="524"/>
      <c r="D62" s="524"/>
      <c r="E62" s="525"/>
      <c r="F62" s="525"/>
      <c r="G62" s="524"/>
      <c r="H62" s="525"/>
      <c r="I62" s="526"/>
      <c r="J62" s="371">
        <f>(H62+I62)-(E62+F62)</f>
        <v>0</v>
      </c>
      <c r="K62" s="520"/>
      <c r="L62" s="526"/>
      <c r="M62" s="527"/>
      <c r="N62" s="528"/>
      <c r="O62" s="525"/>
      <c r="P62" s="519"/>
      <c r="Q62" s="528"/>
      <c r="R62" s="525"/>
      <c r="S62" s="521"/>
    </row>
    <row r="63" spans="1:19" ht="13.5" thickBot="1">
      <c r="A63" s="522"/>
      <c r="B63" s="523"/>
      <c r="C63" s="529"/>
      <c r="D63" s="529"/>
      <c r="E63" s="530"/>
      <c r="F63" s="530"/>
      <c r="G63" s="529"/>
      <c r="H63" s="530"/>
      <c r="I63" s="526"/>
      <c r="J63" s="371">
        <f>(H63+I63)-(E63+F63)</f>
        <v>0</v>
      </c>
      <c r="K63" s="520"/>
      <c r="L63" s="526"/>
      <c r="M63" s="536"/>
      <c r="N63" s="528"/>
      <c r="O63" s="525"/>
      <c r="P63" s="519"/>
      <c r="Q63" s="528"/>
      <c r="R63" s="520"/>
      <c r="S63" s="521"/>
    </row>
    <row r="64" spans="1:19" ht="13.5" thickTop="1">
      <c r="A64" s="383" t="s">
        <v>1020</v>
      </c>
      <c r="B64" s="382"/>
      <c r="C64" s="382"/>
      <c r="D64" s="382"/>
      <c r="E64" s="375">
        <f>SUM(E59:E63)</f>
        <v>0</v>
      </c>
      <c r="F64" s="375">
        <f>SUM(F59:F63)</f>
        <v>0</v>
      </c>
      <c r="G64" s="382"/>
      <c r="H64" s="375">
        <f>SUM(H59:H63)</f>
        <v>0</v>
      </c>
      <c r="I64" s="375">
        <f>SUM(I59:I63)</f>
        <v>0</v>
      </c>
      <c r="J64" s="381">
        <f>SUM(J59:J63)</f>
        <v>0</v>
      </c>
      <c r="K64" s="380">
        <f>SUM(K59:K63)</f>
        <v>0</v>
      </c>
      <c r="L64" s="379">
        <f>SUM(L59:L63)</f>
        <v>0</v>
      </c>
      <c r="M64" s="378"/>
      <c r="N64" s="376"/>
      <c r="O64" s="375">
        <f>SUM(O59:O63)</f>
        <v>0</v>
      </c>
      <c r="P64" s="377"/>
      <c r="Q64" s="376"/>
      <c r="R64" s="375">
        <f>SUM(R59:R63)</f>
        <v>0</v>
      </c>
      <c r="S64" s="374"/>
    </row>
    <row r="65" spans="1:19" ht="4.5" customHeight="1">
      <c r="A65" s="390"/>
      <c r="H65" s="369"/>
      <c r="I65" s="372"/>
      <c r="J65" s="389"/>
      <c r="K65" s="386"/>
      <c r="M65" s="388"/>
      <c r="N65" s="368"/>
      <c r="O65" s="387"/>
      <c r="Q65" s="368"/>
      <c r="R65" s="386"/>
      <c r="S65" s="366"/>
    </row>
    <row r="66" spans="1:19" ht="12.75">
      <c r="A66" s="943" t="s">
        <v>528</v>
      </c>
      <c r="B66" s="944"/>
      <c r="C66" s="944"/>
      <c r="D66" s="944"/>
      <c r="E66" s="944"/>
      <c r="F66" s="944"/>
      <c r="G66" s="944"/>
      <c r="H66" s="944"/>
      <c r="I66" s="944"/>
      <c r="J66" s="944"/>
      <c r="K66" s="944"/>
      <c r="L66" s="944"/>
      <c r="M66" s="944"/>
      <c r="N66" s="944"/>
      <c r="O66" s="944"/>
      <c r="P66" s="944"/>
      <c r="Q66" s="944"/>
      <c r="R66" s="944"/>
      <c r="S66" s="945"/>
    </row>
    <row r="67" spans="1:19" ht="12.75">
      <c r="A67" s="510"/>
      <c r="B67" s="523"/>
      <c r="C67" s="531"/>
      <c r="D67" s="531"/>
      <c r="E67" s="514">
        <f>'Rapport détaillé des coûts'!G45</f>
        <v>0</v>
      </c>
      <c r="F67" s="514">
        <f>'Rapport détaillé des coûts'!F45</f>
        <v>0</v>
      </c>
      <c r="G67" s="531"/>
      <c r="H67" s="514"/>
      <c r="I67" s="537"/>
      <c r="J67" s="385">
        <f>(H67+I67)-(E67+F67)</f>
        <v>0</v>
      </c>
      <c r="K67" s="516"/>
      <c r="L67" s="515"/>
      <c r="M67" s="517"/>
      <c r="N67" s="518"/>
      <c r="O67" s="514"/>
      <c r="P67" s="519"/>
      <c r="Q67" s="518"/>
      <c r="R67" s="520"/>
      <c r="S67" s="521"/>
    </row>
    <row r="68" spans="1:19" ht="12.75">
      <c r="A68" s="522"/>
      <c r="B68" s="523"/>
      <c r="C68" s="524"/>
      <c r="D68" s="524"/>
      <c r="E68" s="525"/>
      <c r="F68" s="525"/>
      <c r="G68" s="524"/>
      <c r="H68" s="525"/>
      <c r="I68" s="538"/>
      <c r="J68" s="384">
        <f>(H68+I68)-(E68+F68)</f>
        <v>0</v>
      </c>
      <c r="K68" s="520"/>
      <c r="L68" s="526"/>
      <c r="M68" s="527"/>
      <c r="N68" s="528"/>
      <c r="O68" s="525"/>
      <c r="P68" s="519"/>
      <c r="Q68" s="528"/>
      <c r="R68" s="520"/>
      <c r="S68" s="521"/>
    </row>
    <row r="69" spans="1:19" ht="12.75">
      <c r="A69" s="522"/>
      <c r="B69" s="523"/>
      <c r="C69" s="524"/>
      <c r="D69" s="524"/>
      <c r="E69" s="525"/>
      <c r="F69" s="525"/>
      <c r="G69" s="524"/>
      <c r="H69" s="525"/>
      <c r="I69" s="538"/>
      <c r="J69" s="384">
        <f>(H69+I69)-(E69+F69)</f>
        <v>0</v>
      </c>
      <c r="K69" s="520"/>
      <c r="L69" s="526"/>
      <c r="M69" s="527"/>
      <c r="N69" s="528"/>
      <c r="O69" s="525"/>
      <c r="P69" s="519"/>
      <c r="Q69" s="528"/>
      <c r="R69" s="520"/>
      <c r="S69" s="521"/>
    </row>
    <row r="70" spans="1:19" ht="13.5" thickBot="1">
      <c r="A70" s="522"/>
      <c r="B70" s="523"/>
      <c r="C70" s="529"/>
      <c r="D70" s="524"/>
      <c r="E70" s="525"/>
      <c r="F70" s="525"/>
      <c r="G70" s="524"/>
      <c r="H70" s="525"/>
      <c r="I70" s="538"/>
      <c r="J70" s="384">
        <f>(H70+I70)-(E70+F70)</f>
        <v>0</v>
      </c>
      <c r="K70" s="520"/>
      <c r="L70" s="526"/>
      <c r="M70" s="527"/>
      <c r="N70" s="528"/>
      <c r="O70" s="525"/>
      <c r="P70" s="519"/>
      <c r="Q70" s="528"/>
      <c r="R70" s="520"/>
      <c r="S70" s="521"/>
    </row>
    <row r="71" spans="1:19" ht="13.5" thickTop="1">
      <c r="A71" s="383" t="s">
        <v>1020</v>
      </c>
      <c r="B71" s="382"/>
      <c r="C71" s="382"/>
      <c r="D71" s="382"/>
      <c r="E71" s="375">
        <f>SUM(E67:E70)</f>
        <v>0</v>
      </c>
      <c r="F71" s="375">
        <f>SUM(F67:F70)</f>
        <v>0</v>
      </c>
      <c r="G71" s="382"/>
      <c r="H71" s="375">
        <f>SUM(H67:H70)</f>
        <v>0</v>
      </c>
      <c r="I71" s="375">
        <f>SUM(I67:I70)</f>
        <v>0</v>
      </c>
      <c r="J71" s="381">
        <f>SUM(J67:J70)</f>
        <v>0</v>
      </c>
      <c r="K71" s="380">
        <f>SUM(K67:K70)</f>
        <v>0</v>
      </c>
      <c r="L71" s="379">
        <f>SUM(L67:L70)</f>
        <v>0</v>
      </c>
      <c r="M71" s="378"/>
      <c r="N71" s="376"/>
      <c r="O71" s="375">
        <f>SUM(O67:O70)</f>
        <v>0</v>
      </c>
      <c r="P71" s="377"/>
      <c r="Q71" s="376"/>
      <c r="R71" s="375">
        <f>SUM(R67:R70)</f>
        <v>0</v>
      </c>
      <c r="S71" s="374"/>
    </row>
    <row r="72" spans="1:19" ht="4.5" customHeight="1" thickBot="1">
      <c r="A72" s="373"/>
      <c r="H72" s="369"/>
      <c r="I72" s="372"/>
      <c r="J72" s="371"/>
      <c r="K72" s="367"/>
      <c r="M72" s="370"/>
      <c r="N72" s="368"/>
      <c r="O72" s="369"/>
      <c r="Q72" s="368"/>
      <c r="R72" s="367"/>
      <c r="S72" s="366"/>
    </row>
    <row r="73" spans="1:19" ht="19.5" customHeight="1" thickBot="1" thickTop="1">
      <c r="A73" s="971" t="s">
        <v>1019</v>
      </c>
      <c r="B73" s="972"/>
      <c r="C73" s="973"/>
      <c r="D73" s="365"/>
      <c r="E73" s="364">
        <f>SUM(E71,E64,E56,E48,E40,E28)</f>
        <v>0</v>
      </c>
      <c r="F73" s="364">
        <f>SUM(F71,F64,F56,F48,F40,F28)</f>
        <v>0</v>
      </c>
      <c r="G73" s="365"/>
      <c r="H73" s="364">
        <f>SUM(H71,H64,H56,H48,H40,H28)</f>
        <v>0</v>
      </c>
      <c r="I73" s="364">
        <f>SUM(I71,I64,I56,I48,I40,I28)</f>
        <v>0</v>
      </c>
      <c r="J73" s="363">
        <f>SUM(J71,J64,J56,J48,J40,J28)</f>
        <v>0</v>
      </c>
      <c r="K73" s="362">
        <f>SUM(K71,K64,K56,K48,K40,K28)</f>
        <v>0</v>
      </c>
      <c r="L73" s="361">
        <f>SUM(L28,L40,L48,L56,L64,L71)</f>
        <v>0</v>
      </c>
      <c r="M73" s="360"/>
      <c r="N73" s="358"/>
      <c r="O73" s="357"/>
      <c r="P73" s="359"/>
      <c r="Q73" s="358"/>
      <c r="R73" s="357"/>
      <c r="S73" s="356"/>
    </row>
    <row r="74" spans="1:19" ht="13.5" customHeight="1" thickTop="1">
      <c r="A74" s="355"/>
      <c r="B74" s="354"/>
      <c r="C74" s="354"/>
      <c r="D74" s="354"/>
      <c r="E74" s="930" t="s">
        <v>1018</v>
      </c>
      <c r="F74" s="931"/>
      <c r="G74" s="354"/>
      <c r="H74" s="930" t="s">
        <v>1017</v>
      </c>
      <c r="I74" s="931"/>
      <c r="J74" s="353"/>
      <c r="K74" s="967" t="s">
        <v>1016</v>
      </c>
      <c r="L74" s="968"/>
      <c r="M74" s="352"/>
      <c r="N74" s="350"/>
      <c r="O74" s="349"/>
      <c r="P74" s="351"/>
      <c r="Q74" s="350"/>
      <c r="R74" s="349"/>
      <c r="S74" s="348"/>
    </row>
    <row r="75" spans="1:19" ht="18" customHeight="1" thickBot="1">
      <c r="A75" s="957" t="s">
        <v>1015</v>
      </c>
      <c r="B75" s="958"/>
      <c r="C75" s="347"/>
      <c r="D75" s="347"/>
      <c r="E75" s="928">
        <f>E73+F73</f>
        <v>0</v>
      </c>
      <c r="F75" s="929"/>
      <c r="G75" s="347"/>
      <c r="H75" s="926">
        <f>H73+I73</f>
        <v>0</v>
      </c>
      <c r="I75" s="927"/>
      <c r="J75" s="346">
        <f>J73</f>
        <v>0</v>
      </c>
      <c r="K75" s="965">
        <f>SUM(K73,L73)</f>
        <v>0</v>
      </c>
      <c r="L75" s="966"/>
      <c r="M75" s="345"/>
      <c r="N75" s="343"/>
      <c r="O75" s="342"/>
      <c r="P75" s="344"/>
      <c r="Q75" s="343"/>
      <c r="R75" s="342"/>
      <c r="S75" s="341"/>
    </row>
    <row r="76" ht="7.5" customHeight="1"/>
    <row r="197" ht="12.75">
      <c r="B197" s="340"/>
    </row>
    <row r="198" ht="12.75">
      <c r="B198" s="539"/>
    </row>
    <row r="199" ht="12.75">
      <c r="B199" s="539"/>
    </row>
    <row r="200" ht="12.75">
      <c r="B200" s="539"/>
    </row>
    <row r="201" ht="6" customHeight="1">
      <c r="B201" s="539"/>
    </row>
  </sheetData>
  <sheetProtection password="E71A" sheet="1" sort="0" autoFilter="0" pivotTables="0"/>
  <mergeCells count="36">
    <mergeCell ref="A75:B75"/>
    <mergeCell ref="A42:S42"/>
    <mergeCell ref="A14:A15"/>
    <mergeCell ref="B14:B15"/>
    <mergeCell ref="S14:S15"/>
    <mergeCell ref="K75:L75"/>
    <mergeCell ref="K74:L74"/>
    <mergeCell ref="J14:J15"/>
    <mergeCell ref="A73:C73"/>
    <mergeCell ref="A66:S66"/>
    <mergeCell ref="A58:S58"/>
    <mergeCell ref="L7:P7"/>
    <mergeCell ref="B8:C8"/>
    <mergeCell ref="B9:C9"/>
    <mergeCell ref="K12:S12"/>
    <mergeCell ref="A50:S50"/>
    <mergeCell ref="M13:O13"/>
    <mergeCell ref="P13:R13"/>
    <mergeCell ref="K13:L13"/>
    <mergeCell ref="K14:L14"/>
    <mergeCell ref="A16:S16"/>
    <mergeCell ref="A30:S30"/>
    <mergeCell ref="B7:C7"/>
    <mergeCell ref="A12:J12"/>
    <mergeCell ref="P14:R14"/>
    <mergeCell ref="M14:O14"/>
    <mergeCell ref="V3:X3"/>
    <mergeCell ref="Y3:AA3"/>
    <mergeCell ref="H75:I75"/>
    <mergeCell ref="E75:F75"/>
    <mergeCell ref="E74:F74"/>
    <mergeCell ref="G13:I13"/>
    <mergeCell ref="D14:F14"/>
    <mergeCell ref="G14:I14"/>
    <mergeCell ref="H74:I74"/>
    <mergeCell ref="D13:F13"/>
  </mergeCells>
  <printOptions horizontalCentered="1"/>
  <pageMargins left="0.1968503937007874" right="0.1968503937007874" top="0" bottom="0" header="0.2755905511811024" footer="0.2755905511811024"/>
  <pageSetup fitToHeight="1" fitToWidth="1" horizontalDpi="600" verticalDpi="600" orientation="landscape" paperSize="5" scale="51" r:id="rId2"/>
  <headerFooter alignWithMargins="0">
    <oddFooter>&amp;LTransition énergétique Québec</oddFooter>
  </headerFooter>
  <drawing r:id="rId1"/>
</worksheet>
</file>

<file path=xl/worksheets/sheet7.xml><?xml version="1.0" encoding="utf-8"?>
<worksheet xmlns="http://schemas.openxmlformats.org/spreadsheetml/2006/main" xmlns:r="http://schemas.openxmlformats.org/officeDocument/2006/relationships">
  <sheetPr codeName="Feuil3"/>
  <dimension ref="A1:DK3"/>
  <sheetViews>
    <sheetView zoomScale="85" zoomScaleNormal="85" zoomScalePageLayoutView="0" workbookViewId="0" topLeftCell="A1">
      <selection activeCell="H67" sqref="H67:P67"/>
    </sheetView>
  </sheetViews>
  <sheetFormatPr defaultColWidth="11.421875" defaultRowHeight="15"/>
  <cols>
    <col min="1" max="1" width="15.00390625" style="0" bestFit="1" customWidth="1"/>
    <col min="2" max="2" width="8.57421875" style="0" bestFit="1" customWidth="1"/>
    <col min="3" max="3" width="4.8515625" style="0" bestFit="1" customWidth="1"/>
    <col min="4" max="4" width="12.8515625" style="0" bestFit="1" customWidth="1"/>
    <col min="5" max="5" width="13.140625" style="0" bestFit="1" customWidth="1"/>
    <col min="6" max="6" width="15.57421875" style="0" bestFit="1" customWidth="1"/>
    <col min="7" max="7" width="35.00390625" style="0" bestFit="1" customWidth="1"/>
    <col min="8" max="8" width="9.28125" style="0" bestFit="1" customWidth="1"/>
    <col min="9" max="9" width="5.28125" style="0" bestFit="1" customWidth="1"/>
    <col min="10" max="10" width="8.57421875" style="0" bestFit="1" customWidth="1"/>
    <col min="11" max="11" width="9.00390625" style="0" bestFit="1" customWidth="1"/>
    <col min="12" max="12" width="8.8515625" style="0" bestFit="1" customWidth="1"/>
    <col min="13" max="13" width="10.57421875" style="0" bestFit="1" customWidth="1"/>
    <col min="14" max="14" width="10.28125" style="0" bestFit="1" customWidth="1"/>
    <col min="15" max="15" width="8.57421875" style="0" bestFit="1" customWidth="1"/>
    <col min="16" max="16" width="11.00390625" style="0" bestFit="1" customWidth="1"/>
    <col min="17" max="17" width="6.140625" style="0" bestFit="1" customWidth="1"/>
    <col min="18" max="18" width="12.8515625" style="0" bestFit="1" customWidth="1"/>
    <col min="19" max="19" width="13.140625" style="0" bestFit="1" customWidth="1"/>
    <col min="20" max="20" width="10.28125" style="0" bestFit="1" customWidth="1"/>
    <col min="21" max="21" width="9.28125" style="0" bestFit="1" customWidth="1"/>
    <col min="22" max="22" width="5.28125" style="0" bestFit="1" customWidth="1"/>
    <col min="23" max="23" width="8.57421875" style="0" bestFit="1" customWidth="1"/>
    <col min="24" max="24" width="9.00390625" style="0" bestFit="1" customWidth="1"/>
    <col min="25" max="25" width="8.8515625" style="0" bestFit="1" customWidth="1"/>
    <col min="26" max="26" width="10.57421875" style="0" bestFit="1" customWidth="1"/>
    <col min="27" max="27" width="10.28125" style="0" bestFit="1" customWidth="1"/>
    <col min="28" max="28" width="8.57421875" style="0" bestFit="1" customWidth="1"/>
    <col min="29" max="29" width="11.00390625" style="0" bestFit="1" customWidth="1"/>
    <col min="30" max="30" width="6.140625" style="0" bestFit="1" customWidth="1"/>
    <col min="31" max="31" width="12.8515625" style="0" bestFit="1" customWidth="1"/>
    <col min="32" max="32" width="13.140625" style="0" bestFit="1" customWidth="1"/>
    <col min="33" max="33" width="10.28125" style="0" bestFit="1" customWidth="1"/>
    <col min="34" max="34" width="9.8515625" style="0" bestFit="1" customWidth="1"/>
    <col min="35" max="35" width="5.28125" style="0" bestFit="1" customWidth="1"/>
    <col min="36" max="36" width="8.57421875" style="0" bestFit="1" customWidth="1"/>
    <col min="37" max="37" width="9.00390625" style="0" bestFit="1" customWidth="1"/>
    <col min="38" max="38" width="8.8515625" style="0" bestFit="1" customWidth="1"/>
    <col min="39" max="39" width="10.57421875" style="0" bestFit="1" customWidth="1"/>
    <col min="40" max="40" width="15.421875" style="0" bestFit="1" customWidth="1"/>
    <col min="41" max="41" width="8.57421875" style="0" bestFit="1" customWidth="1"/>
    <col min="42" max="42" width="11.00390625" style="0" bestFit="1" customWidth="1"/>
    <col min="43" max="43" width="6.140625" style="0" bestFit="1" customWidth="1"/>
    <col min="44" max="44" width="12.8515625" style="0" bestFit="1" customWidth="1"/>
    <col min="45" max="45" width="13.140625" style="0" bestFit="1" customWidth="1"/>
    <col min="46" max="46" width="10.28125" style="0" bestFit="1" customWidth="1"/>
    <col min="47" max="47" width="8.57421875" style="0" bestFit="1" customWidth="1"/>
    <col min="48" max="48" width="14.7109375" style="0" bestFit="1" customWidth="1"/>
    <col min="49" max="49" width="12.8515625" style="0" bestFit="1" customWidth="1"/>
    <col min="50" max="52" width="12.8515625" style="0" customWidth="1"/>
    <col min="53" max="53" width="13.140625" style="0" bestFit="1" customWidth="1"/>
    <col min="54" max="54" width="13.421875" style="0" bestFit="1" customWidth="1"/>
    <col min="55" max="55" width="6.140625" style="0" bestFit="1" customWidth="1"/>
    <col min="56" max="56" width="30.8515625" style="0" bestFit="1" customWidth="1"/>
    <col min="57" max="57" width="4.28125" style="0" bestFit="1" customWidth="1"/>
    <col min="58" max="58" width="5.8515625" style="0" bestFit="1" customWidth="1"/>
    <col min="59" max="59" width="38.140625" style="0" bestFit="1" customWidth="1"/>
    <col min="60" max="60" width="27.421875" style="0" bestFit="1" customWidth="1"/>
    <col min="61" max="61" width="44.28125" style="0" bestFit="1" customWidth="1"/>
    <col min="62" max="62" width="19.57421875" style="0" bestFit="1" customWidth="1"/>
    <col min="63" max="63" width="5.57421875" style="0" bestFit="1" customWidth="1"/>
    <col min="64" max="64" width="4.7109375" style="0" bestFit="1" customWidth="1"/>
    <col min="65" max="65" width="6.140625" style="0" bestFit="1" customWidth="1"/>
    <col min="66" max="69" width="5.140625" style="0" bestFit="1" customWidth="1"/>
    <col min="70" max="70" width="5.28125" style="0" bestFit="1" customWidth="1"/>
    <col min="71" max="71" width="5.140625" style="0" bestFit="1" customWidth="1"/>
    <col min="72" max="72" width="5.7109375" style="0" bestFit="1" customWidth="1"/>
    <col min="73" max="75" width="5.140625" style="0" bestFit="1" customWidth="1"/>
    <col min="76" max="76" width="66.8515625" style="0" bestFit="1" customWidth="1"/>
    <col min="77" max="77" width="74.7109375" style="0" bestFit="1" customWidth="1"/>
    <col min="78" max="78" width="11.7109375" style="0" bestFit="1" customWidth="1"/>
    <col min="79" max="79" width="6.140625" style="0" bestFit="1" customWidth="1"/>
    <col min="80" max="80" width="23.57421875" style="0" bestFit="1" customWidth="1"/>
    <col min="81" max="81" width="22.140625" style="0" bestFit="1" customWidth="1"/>
    <col min="82" max="82" width="8.8515625" style="0" bestFit="1" customWidth="1"/>
    <col min="83" max="83" width="10.7109375" style="0" bestFit="1" customWidth="1"/>
    <col min="84" max="84" width="23.57421875" style="0" bestFit="1" customWidth="1"/>
    <col min="85" max="85" width="22.140625" style="0" bestFit="1" customWidth="1"/>
    <col min="86" max="86" width="8.8515625" style="0" bestFit="1" customWidth="1"/>
    <col min="87" max="87" width="10.7109375" style="0" bestFit="1" customWidth="1"/>
    <col min="88" max="88" width="23.57421875" style="0" bestFit="1" customWidth="1"/>
    <col min="89" max="89" width="22.140625" style="0" bestFit="1" customWidth="1"/>
    <col min="90" max="90" width="35.28125" style="0" bestFit="1" customWidth="1"/>
    <col min="91" max="91" width="14.57421875" style="0" bestFit="1" customWidth="1"/>
    <col min="92" max="92" width="39.140625" style="0" bestFit="1" customWidth="1"/>
    <col min="93" max="93" width="16.00390625" style="0" bestFit="1" customWidth="1"/>
    <col min="94" max="94" width="11.7109375" style="0" bestFit="1" customWidth="1"/>
    <col min="95" max="95" width="23.28125" style="0" bestFit="1" customWidth="1"/>
    <col min="96" max="96" width="24.8515625" style="0" bestFit="1" customWidth="1"/>
    <col min="97" max="97" width="15.57421875" style="0" bestFit="1" customWidth="1"/>
    <col min="98" max="98" width="16.140625" style="0" bestFit="1" customWidth="1"/>
    <col min="99" max="99" width="11.7109375" style="0" bestFit="1" customWidth="1"/>
    <col min="100" max="100" width="23.28125" style="0" bestFit="1" customWidth="1"/>
    <col min="101" max="101" width="24.8515625" style="0" bestFit="1" customWidth="1"/>
    <col min="102" max="102" width="15.57421875" style="0" bestFit="1" customWidth="1"/>
    <col min="103" max="103" width="16.140625" style="0" bestFit="1" customWidth="1"/>
    <col min="104" max="104" width="11.7109375" style="0" bestFit="1" customWidth="1"/>
    <col min="105" max="105" width="23.28125" style="0" bestFit="1" customWidth="1"/>
    <col min="106" max="106" width="24.8515625" style="0" bestFit="1" customWidth="1"/>
    <col min="107" max="107" width="15.57421875" style="0" bestFit="1" customWidth="1"/>
    <col min="108" max="108" width="16.140625" style="0" bestFit="1" customWidth="1"/>
    <col min="109" max="109" width="11.7109375" style="0" bestFit="1" customWidth="1"/>
    <col min="110" max="110" width="23.28125" style="0" bestFit="1" customWidth="1"/>
    <col min="111" max="111" width="24.8515625" style="0" bestFit="1" customWidth="1"/>
    <col min="112" max="112" width="15.57421875" style="0" bestFit="1" customWidth="1"/>
    <col min="113" max="113" width="16.140625" style="0" bestFit="1" customWidth="1"/>
    <col min="114" max="114" width="19.140625" style="0" bestFit="1" customWidth="1"/>
    <col min="115" max="115" width="10.57421875" style="0" bestFit="1" customWidth="1"/>
    <col min="203" max="203" width="12.57421875" style="0" bestFit="1" customWidth="1"/>
  </cols>
  <sheetData>
    <row r="1" spans="1:115" ht="15.75" thickTop="1">
      <c r="A1" s="977" t="str">
        <f>'1. Demande'!B7</f>
        <v>A-Requérant</v>
      </c>
      <c r="B1" s="975"/>
      <c r="C1" s="975"/>
      <c r="D1" s="975"/>
      <c r="E1" s="975"/>
      <c r="F1" s="975"/>
      <c r="G1" s="976"/>
      <c r="H1" s="974" t="str">
        <f>'1. Demande'!B17</f>
        <v>B-Signataire autorisé</v>
      </c>
      <c r="I1" s="975"/>
      <c r="J1" s="975"/>
      <c r="K1" s="975"/>
      <c r="L1" s="975"/>
      <c r="M1" s="975"/>
      <c r="N1" s="975"/>
      <c r="O1" s="975"/>
      <c r="P1" s="975"/>
      <c r="Q1" s="975"/>
      <c r="R1" s="975"/>
      <c r="S1" s="975"/>
      <c r="T1" s="976"/>
      <c r="U1" s="974" t="str">
        <f>'1. Demande'!B30</f>
        <v>C-Rep. administratif</v>
      </c>
      <c r="V1" s="975"/>
      <c r="W1" s="975"/>
      <c r="X1" s="975"/>
      <c r="Y1" s="975"/>
      <c r="Z1" s="975"/>
      <c r="AA1" s="975"/>
      <c r="AB1" s="975"/>
      <c r="AC1" s="975"/>
      <c r="AD1" s="975"/>
      <c r="AE1" s="975"/>
      <c r="AF1" s="975"/>
      <c r="AG1" s="976"/>
      <c r="AH1" s="974" t="str">
        <f>'1. Demande'!B43</f>
        <v>D-Électriciens</v>
      </c>
      <c r="AI1" s="975"/>
      <c r="AJ1" s="975"/>
      <c r="AK1" s="975"/>
      <c r="AL1" s="975"/>
      <c r="AM1" s="975"/>
      <c r="AN1" s="975"/>
      <c r="AO1" s="975"/>
      <c r="AP1" s="975"/>
      <c r="AQ1" s="975"/>
      <c r="AR1" s="975"/>
      <c r="AS1" s="975"/>
      <c r="AT1" s="978"/>
      <c r="AU1" s="977" t="str">
        <f>'1. Demande'!B55</f>
        <v>E-Site</v>
      </c>
      <c r="AV1" s="975"/>
      <c r="AW1" s="975"/>
      <c r="AX1" s="975"/>
      <c r="AY1" s="975"/>
      <c r="AZ1" s="975"/>
      <c r="BA1" s="975"/>
      <c r="BB1" s="975"/>
      <c r="BC1" s="975"/>
      <c r="BD1" s="975"/>
      <c r="BE1" s="975"/>
      <c r="BF1" s="975"/>
      <c r="BG1" s="975"/>
      <c r="BH1" s="975"/>
      <c r="BI1" s="975"/>
      <c r="BJ1" s="975"/>
      <c r="BK1" s="975"/>
      <c r="BL1" s="975"/>
      <c r="BM1" s="975"/>
      <c r="BN1" s="975"/>
      <c r="BO1" s="975"/>
      <c r="BP1" s="975"/>
      <c r="BQ1" s="975"/>
      <c r="BR1" s="975"/>
      <c r="BS1" s="975"/>
      <c r="BT1" s="975"/>
      <c r="BU1" s="975"/>
      <c r="BV1" s="975"/>
      <c r="BW1" s="975"/>
      <c r="BX1" s="975"/>
      <c r="BY1" s="978"/>
      <c r="BZ1" s="977" t="str">
        <f>'1. Demande'!B73</f>
        <v>F-Consommation d'énergie</v>
      </c>
      <c r="CA1" s="975"/>
      <c r="CB1" s="975"/>
      <c r="CC1" s="975"/>
      <c r="CD1" s="975"/>
      <c r="CE1" s="975"/>
      <c r="CF1" s="975"/>
      <c r="CG1" s="975"/>
      <c r="CH1" s="975"/>
      <c r="CI1" s="975"/>
      <c r="CJ1" s="975"/>
      <c r="CK1" s="976"/>
      <c r="CL1" s="974" t="e">
        <f>'1. Demande'!#REF!</f>
        <v>#REF!</v>
      </c>
      <c r="CM1" s="975"/>
      <c r="CN1" s="975"/>
      <c r="CO1" s="976"/>
      <c r="CP1" s="974" t="str">
        <f>'1. Demande'!B118</f>
        <v>I-Données financières</v>
      </c>
      <c r="CQ1" s="975"/>
      <c r="CR1" s="975"/>
      <c r="CS1" s="975"/>
      <c r="CT1" s="975"/>
      <c r="CU1" s="975"/>
      <c r="CV1" s="975"/>
      <c r="CW1" s="975"/>
      <c r="CX1" s="975"/>
      <c r="CY1" s="975"/>
      <c r="CZ1" s="975"/>
      <c r="DA1" s="975"/>
      <c r="DB1" s="975"/>
      <c r="DC1" s="975"/>
      <c r="DD1" s="975"/>
      <c r="DE1" s="975"/>
      <c r="DF1" s="975"/>
      <c r="DG1" s="975"/>
      <c r="DH1" s="975"/>
      <c r="DI1" s="976"/>
      <c r="DJ1" s="974" t="str">
        <f>'1. Demande'!B127</f>
        <v>J-Signature</v>
      </c>
      <c r="DK1" s="976"/>
    </row>
    <row r="2" spans="1:115" ht="15">
      <c r="A2" s="95" t="str">
        <f>'1. Demande'!D8</f>
        <v>Raison sociale</v>
      </c>
      <c r="B2" s="57" t="str">
        <f>'1. Demande'!D10</f>
        <v>Adresse</v>
      </c>
      <c r="C2" s="57" t="str">
        <f>'1. Demande'!AE10</f>
        <v>NEQ</v>
      </c>
      <c r="D2" s="57" t="str">
        <f>'1. Demande'!D12</f>
        <v>Municipalité</v>
      </c>
      <c r="E2" s="57" t="str">
        <f>'1. Demande'!Y12</f>
        <v>  Code postal</v>
      </c>
      <c r="F2" s="57" t="str">
        <f>'1. Demande'!AE12</f>
        <v>Nbr d'employés</v>
      </c>
      <c r="G2" s="94" t="str">
        <f>'1. Demande'!D14</f>
        <v>Description sommaire du requérant</v>
      </c>
      <c r="H2" s="58" t="str">
        <f>'1. Demande'!D18</f>
        <v>Appel</v>
      </c>
      <c r="I2" s="57" t="str">
        <f>'1. Demande'!L18</f>
        <v>Nom</v>
      </c>
      <c r="J2" s="57" t="str">
        <f>'1. Demande'!AA18</f>
        <v> Prénom</v>
      </c>
      <c r="K2" s="57" t="str">
        <f>'1. Demande'!D20</f>
        <v>Fonction</v>
      </c>
      <c r="L2" s="57" t="str">
        <f>'1. Demande'!AA20</f>
        <v> Courriel</v>
      </c>
      <c r="M2" s="57" t="str">
        <f>'1. Demande'!D24</f>
        <v>Entreprise</v>
      </c>
      <c r="N2" s="57" t="str">
        <f>'1. Demande'!AE24</f>
        <v>NEQ</v>
      </c>
      <c r="O2" s="57" t="str">
        <f>'1. Demande'!D26</f>
        <v>Adresse</v>
      </c>
      <c r="P2" s="57" t="str">
        <f>'1. Demande'!AE26</f>
        <v>Téléphone</v>
      </c>
      <c r="Q2" s="57" t="str">
        <f>'1. Demande'!AR24</f>
        <v>Poste</v>
      </c>
      <c r="R2" s="57" t="str">
        <f>'1. Demande'!D28</f>
        <v>Municipalité</v>
      </c>
      <c r="S2" s="57" t="str">
        <f>'1. Demande'!Y28</f>
        <v>  Code postal</v>
      </c>
      <c r="T2" s="94" t="str">
        <f>'1. Demande'!AE28</f>
        <v>Cellulaire</v>
      </c>
      <c r="U2" s="58" t="str">
        <f>'1. Demande'!D33</f>
        <v>Appel</v>
      </c>
      <c r="V2" s="57" t="str">
        <f>'1. Demande'!L33</f>
        <v>Nom</v>
      </c>
      <c r="W2" s="57" t="str">
        <f>'1. Demande'!AA33</f>
        <v> Prénom</v>
      </c>
      <c r="X2" s="57" t="str">
        <f>'1. Demande'!D20</f>
        <v>Fonction</v>
      </c>
      <c r="Y2" s="57" t="str">
        <f>'1. Demande'!AA20</f>
        <v> Courriel</v>
      </c>
      <c r="Z2" s="57" t="str">
        <f>'1. Demande'!D24</f>
        <v>Entreprise</v>
      </c>
      <c r="AA2" s="57" t="str">
        <f>'1. Demande'!AE37</f>
        <v>NEQ</v>
      </c>
      <c r="AB2" s="57" t="str">
        <f>'1. Demande'!D39</f>
        <v>Adresse</v>
      </c>
      <c r="AC2" s="57" t="str">
        <f>'1. Demande'!AE39</f>
        <v>Téléphone</v>
      </c>
      <c r="AD2" s="57" t="str">
        <f>'1. Demande'!AR48</f>
        <v>Poste</v>
      </c>
      <c r="AE2" s="57" t="str">
        <f>'1. Demande'!D52</f>
        <v>Municipalité</v>
      </c>
      <c r="AF2" s="57" t="str">
        <f>'1. Demande'!Y41</f>
        <v>  Code postal</v>
      </c>
      <c r="AG2" s="94" t="str">
        <f>'1. Demande'!AE41</f>
        <v>Cellulaire</v>
      </c>
      <c r="AH2" s="58" t="str">
        <f>'1. Demande'!D44</f>
        <v>Appel</v>
      </c>
      <c r="AI2" s="57" t="str">
        <f>'1. Demande'!L44</f>
        <v>Nom</v>
      </c>
      <c r="AJ2" s="57" t="str">
        <f>'1. Demande'!AA44</f>
        <v> Prénom</v>
      </c>
      <c r="AK2" s="57" t="str">
        <f>'1. Demande'!D46</f>
        <v>Fonction</v>
      </c>
      <c r="AL2" s="57" t="str">
        <f>'1. Demande'!AA46</f>
        <v> Courriel</v>
      </c>
      <c r="AM2" s="57" t="str">
        <f>'1. Demande'!D48</f>
        <v>Entreprise</v>
      </c>
      <c r="AN2" s="57" t="str">
        <f>'1. Demande'!AE48</f>
        <v>NEQ</v>
      </c>
      <c r="AO2" s="57" t="str">
        <f>'1. Demande'!D50</f>
        <v>Adresse</v>
      </c>
      <c r="AP2" s="57" t="str">
        <f>'1. Demande'!AE50</f>
        <v>Téléphone</v>
      </c>
      <c r="AQ2" s="57" t="str">
        <f>'1. Demande'!AR48</f>
        <v>Poste</v>
      </c>
      <c r="AR2" s="57" t="str">
        <f>'1. Demande'!D52</f>
        <v>Municipalité</v>
      </c>
      <c r="AS2" s="57" t="str">
        <f>'1. Demande'!Y52</f>
        <v>  Code postal</v>
      </c>
      <c r="AT2" s="57" t="str">
        <f>'1. Demande'!AE52</f>
        <v>Cellulaire</v>
      </c>
      <c r="AU2" s="95" t="str">
        <f>'1. Demande'!D60</f>
        <v>Adresse</v>
      </c>
      <c r="AV2" s="57" t="str">
        <f>'1. Demande'!AE60</f>
        <v>Prod. Annuelle</v>
      </c>
      <c r="AW2" s="57" t="str">
        <f>'1. Demande'!D62</f>
        <v>Municipalité</v>
      </c>
      <c r="AX2" s="57" t="s">
        <v>146</v>
      </c>
      <c r="AY2" s="57" t="s">
        <v>145</v>
      </c>
      <c r="AZ2" s="57" t="s">
        <v>185</v>
      </c>
      <c r="BA2" s="57" t="str">
        <f>'1. Demande'!Y62</f>
        <v>  Code postal</v>
      </c>
      <c r="BB2" s="57">
        <f>'1. Demande'!D96</f>
        <v>0</v>
      </c>
      <c r="BC2" s="57" t="s">
        <v>193</v>
      </c>
      <c r="BD2" s="57" t="e">
        <f>'1. Demande'!#REF!</f>
        <v>#REF!</v>
      </c>
      <c r="BE2" s="57" t="e">
        <f>'1. Demande'!#REF!</f>
        <v>#REF!</v>
      </c>
      <c r="BF2" s="57" t="e">
        <f>'1. Demande'!#REF!</f>
        <v>#REF!</v>
      </c>
      <c r="BG2" s="57" t="e">
        <f>'1. Demande'!#REF!</f>
        <v>#REF!</v>
      </c>
      <c r="BH2" s="57">
        <f>'1. Demande'!AE66</f>
        <v>0</v>
      </c>
      <c r="BI2" s="57" t="e">
        <f>'1. Demande'!#REF!</f>
        <v>#REF!</v>
      </c>
      <c r="BJ2" s="57" t="str">
        <f>'1. Demande'!D95</f>
        <v>Nouvel équipement</v>
      </c>
      <c r="BK2" s="57" t="e">
        <f>'1. Demande'!#REF!</f>
        <v>#REF!</v>
      </c>
      <c r="BL2" s="57" t="e">
        <f>'1. Demande'!#REF!</f>
        <v>#REF!</v>
      </c>
      <c r="BM2" s="57" t="e">
        <f>'1. Demande'!#REF!</f>
        <v>#REF!</v>
      </c>
      <c r="BN2" s="57" t="e">
        <f>'1. Demande'!#REF!</f>
        <v>#REF!</v>
      </c>
      <c r="BO2" s="57" t="e">
        <f>'1. Demande'!#REF!</f>
        <v>#REF!</v>
      </c>
      <c r="BP2" s="57" t="e">
        <f>'1. Demande'!#REF!</f>
        <v>#REF!</v>
      </c>
      <c r="BQ2" s="57" t="e">
        <f>'1. Demande'!#REF!</f>
        <v>#REF!</v>
      </c>
      <c r="BR2" s="57" t="e">
        <f>'1. Demande'!#REF!</f>
        <v>#REF!</v>
      </c>
      <c r="BS2" s="57" t="e">
        <f>'1. Demande'!#REF!</f>
        <v>#REF!</v>
      </c>
      <c r="BT2" s="57" t="e">
        <f>'1. Demande'!#REF!</f>
        <v>#REF!</v>
      </c>
      <c r="BU2" s="57" t="e">
        <f>'1. Demande'!#REF!</f>
        <v>#REF!</v>
      </c>
      <c r="BV2" s="57" t="e">
        <f>'1. Demande'!#REF!</f>
        <v>#REF!</v>
      </c>
      <c r="BW2" s="57" t="e">
        <f>'1. Demande'!#REF!</f>
        <v>#REF!</v>
      </c>
      <c r="BX2" s="57" t="e">
        <f>'1. Demande'!#REF!</f>
        <v>#REF!</v>
      </c>
      <c r="BY2" s="121" t="str">
        <f>'1. Demande'!D69</f>
        <v>Description sommaire des activités du site</v>
      </c>
      <c r="BZ2" s="57" t="str">
        <f>'1. Demande'!D75</f>
        <v>Énergie</v>
      </c>
      <c r="CA2" s="57" t="str">
        <f>'1. Demande'!J75</f>
        <v>Unité</v>
      </c>
      <c r="CB2" s="57">
        <f>'1. Demande'!N75</f>
        <v>0</v>
      </c>
      <c r="CC2" s="57">
        <f>'1. Demande'!T75</f>
        <v>0</v>
      </c>
      <c r="CD2" s="57" t="s">
        <v>22</v>
      </c>
      <c r="CE2" s="57" t="s">
        <v>23</v>
      </c>
      <c r="CF2" s="57" t="s">
        <v>24</v>
      </c>
      <c r="CG2" s="57" t="s">
        <v>25</v>
      </c>
      <c r="CH2" s="57" t="s">
        <v>22</v>
      </c>
      <c r="CI2" s="57" t="s">
        <v>23</v>
      </c>
      <c r="CJ2" s="57" t="s">
        <v>24</v>
      </c>
      <c r="CK2" s="57" t="s">
        <v>25</v>
      </c>
      <c r="CL2" s="58" t="e">
        <f>'1. Demande'!#REF!</f>
        <v>#REF!</v>
      </c>
      <c r="CM2" s="57">
        <f>'1. Demande'!D103</f>
        <v>0</v>
      </c>
      <c r="CN2" s="57">
        <f>'1. Demande'!D104</f>
        <v>0</v>
      </c>
      <c r="CO2" s="94">
        <f>'1. Demande'!D105</f>
        <v>0</v>
      </c>
      <c r="CP2" s="58" t="str">
        <f>'1. Demande'!D120</f>
        <v>Partenaires</v>
      </c>
      <c r="CQ2" s="57" t="str">
        <f>'1. Demande'!H120</f>
        <v>(précisez si nécessaire)</v>
      </c>
      <c r="CR2" s="57" t="str">
        <f>'1. Demande'!V120</f>
        <v>Nature de la contribution</v>
      </c>
      <c r="CS2" s="57" t="str">
        <f>'1. Demande'!AE120</f>
        <v>Contribution ($)</v>
      </c>
      <c r="CT2" s="57" t="str">
        <f>'1. Demande'!AO120</f>
        <v>Contribution (%)</v>
      </c>
      <c r="CU2" s="57" t="str">
        <f>'1. Demande'!D120</f>
        <v>Partenaires</v>
      </c>
      <c r="CV2" s="57" t="str">
        <f>'1. Demande'!H120</f>
        <v>(précisez si nécessaire)</v>
      </c>
      <c r="CW2" s="57" t="str">
        <f>'1. Demande'!V120</f>
        <v>Nature de la contribution</v>
      </c>
      <c r="CX2" s="57" t="str">
        <f>'1. Demande'!AE120</f>
        <v>Contribution ($)</v>
      </c>
      <c r="CY2" s="57" t="str">
        <f>'1. Demande'!AO120</f>
        <v>Contribution (%)</v>
      </c>
      <c r="CZ2" s="57" t="str">
        <f>'1. Demande'!D120</f>
        <v>Partenaires</v>
      </c>
      <c r="DA2" s="57" t="str">
        <f>'1. Demande'!H120</f>
        <v>(précisez si nécessaire)</v>
      </c>
      <c r="DB2" s="57" t="str">
        <f>'1. Demande'!V120</f>
        <v>Nature de la contribution</v>
      </c>
      <c r="DC2" s="57" t="str">
        <f>'1. Demande'!AE120</f>
        <v>Contribution ($)</v>
      </c>
      <c r="DD2" s="57" t="str">
        <f>'1. Demande'!AO120</f>
        <v>Contribution (%)</v>
      </c>
      <c r="DE2" s="57" t="str">
        <f>'1. Demande'!D120</f>
        <v>Partenaires</v>
      </c>
      <c r="DF2" s="57" t="str">
        <f>'1. Demande'!H120</f>
        <v>(précisez si nécessaire)</v>
      </c>
      <c r="DG2" s="57" t="str">
        <f>'1. Demande'!V120</f>
        <v>Nature de la contribution</v>
      </c>
      <c r="DH2" s="57" t="str">
        <f>'1. Demande'!AE120</f>
        <v>Contribution ($)</v>
      </c>
      <c r="DI2" s="94" t="str">
        <f>'1. Demande'!AO120</f>
        <v>Contribution (%)</v>
      </c>
      <c r="DJ2" s="58" t="str">
        <f>'1. Demande'!D128</f>
        <v>Signataire autorisé</v>
      </c>
      <c r="DK2" s="94" t="str">
        <f>'1. Demande'!AI128</f>
        <v>Date</v>
      </c>
    </row>
    <row r="3" spans="1:115" ht="15.75" thickBot="1">
      <c r="A3" s="96">
        <f>'1. Demande'!H8</f>
      </c>
      <c r="B3" s="97">
        <f>'1. Demande'!H10</f>
      </c>
      <c r="C3" s="97">
        <f>'1. Demande'!AI10</f>
      </c>
      <c r="D3" s="97">
        <f>'1. Demande'!H12</f>
      </c>
      <c r="E3" s="97">
        <f>'1. Demande'!Z12</f>
      </c>
      <c r="F3" s="97">
        <f>'1. Demande'!AI12</f>
        <v>0</v>
      </c>
      <c r="G3" s="98">
        <f>'1. Demande'!D15</f>
        <v>0</v>
      </c>
      <c r="H3" s="99">
        <f>'1. Demande'!H18</f>
      </c>
      <c r="I3" s="97">
        <f>'1. Demande'!M18</f>
      </c>
      <c r="J3" s="97">
        <f>'1. Demande'!AC18</f>
      </c>
      <c r="K3" s="97">
        <f>'1. Demande'!H20</f>
      </c>
      <c r="L3" s="97">
        <f>'1. Demande'!AC20</f>
      </c>
      <c r="M3" s="97">
        <f>'1. Demande'!H24</f>
      </c>
      <c r="N3" s="97">
        <f>'1. Demande'!AI24</f>
      </c>
      <c r="O3" s="97">
        <f>'1. Demande'!H26</f>
      </c>
      <c r="P3" s="97">
        <f>'1. Demande'!AI26</f>
      </c>
      <c r="Q3" s="97">
        <f>'1. Demande'!AR26</f>
      </c>
      <c r="R3" s="97">
        <f>'1. Demande'!H28</f>
      </c>
      <c r="S3" s="97">
        <f>'1. Demande'!Z28</f>
      </c>
      <c r="T3" s="98">
        <f>'1. Demande'!AI28</f>
      </c>
      <c r="U3" s="99">
        <f>'1. Demande'!H33</f>
      </c>
      <c r="V3" s="97">
        <f>'1. Demande'!M33</f>
      </c>
      <c r="W3" s="97">
        <f>'1. Demande'!AC33</f>
      </c>
      <c r="X3" s="97">
        <f>'1. Demande'!H35</f>
      </c>
      <c r="Y3" s="97">
        <f>'1. Demande'!AC35</f>
      </c>
      <c r="Z3" s="97">
        <f>'1. Demande'!H37</f>
      </c>
      <c r="AA3" s="97">
        <f>'1. Demande'!AI37</f>
      </c>
      <c r="AB3" s="97">
        <f>'1. Demande'!H39</f>
      </c>
      <c r="AC3" s="97">
        <f>'1. Demande'!AI39</f>
      </c>
      <c r="AD3" s="97">
        <f>'1. Demande'!AR39</f>
      </c>
      <c r="AE3" s="97">
        <f>'1. Demande'!H41</f>
      </c>
      <c r="AF3" s="97">
        <f>'1. Demande'!Z41</f>
      </c>
      <c r="AG3" s="98">
        <f>'1. Demande'!AI41</f>
      </c>
      <c r="AH3" s="99">
        <f>'1. Demande'!H44</f>
      </c>
      <c r="AI3" s="97">
        <f>'1. Demande'!M44</f>
      </c>
      <c r="AJ3" s="97">
        <f>'1. Demande'!AC44</f>
      </c>
      <c r="AK3" s="97">
        <f>'1. Demande'!H46</f>
      </c>
      <c r="AL3" s="97">
        <f>'1. Demande'!AC46</f>
      </c>
      <c r="AM3" s="97">
        <f>'1. Demande'!H48</f>
      </c>
      <c r="AN3" s="97">
        <f>'1. Demande'!AI48</f>
      </c>
      <c r="AO3" s="97">
        <f>'1. Demande'!H50</f>
      </c>
      <c r="AP3" s="97">
        <f>'1. Demande'!AI50</f>
      </c>
      <c r="AQ3" s="97">
        <f>'1. Demande'!AR50</f>
      </c>
      <c r="AR3" s="97">
        <f>'1. Demande'!H52</f>
      </c>
      <c r="AS3" s="97">
        <f>'1. Demande'!Z52</f>
      </c>
      <c r="AT3" s="97">
        <f>'1. Demande'!AI52</f>
      </c>
      <c r="AU3" s="96">
        <f>'1. Demande'!H60</f>
      </c>
      <c r="AV3" s="97">
        <f>'1. Demande'!AI60</f>
      </c>
      <c r="AW3" s="97">
        <f>'1. Demande'!H62</f>
      </c>
      <c r="AX3" s="97">
        <f>'1. Demande'!AI62</f>
      </c>
      <c r="AY3" s="97">
        <f>'1. Demande'!H64</f>
      </c>
      <c r="AZ3" s="97" t="b">
        <v>1</v>
      </c>
      <c r="BA3" s="97">
        <f>'1. Demande'!Z62</f>
      </c>
      <c r="BB3" s="97">
        <f>'1. Demande'!I96</f>
        <v>0</v>
      </c>
      <c r="BC3" s="97" t="b">
        <v>0</v>
      </c>
      <c r="BD3" s="97" t="e">
        <f>'1. Demande'!#REF!</f>
        <v>#REF!</v>
      </c>
      <c r="BE3" s="97" t="e">
        <f>'1. Demande'!#REF!</f>
        <v>#REF!</v>
      </c>
      <c r="BF3" s="97" t="e">
        <f>'1. Demande'!#REF!</f>
        <v>#REF!</v>
      </c>
      <c r="BG3" s="97" t="e">
        <f>'1. Demande'!#REF!</f>
        <v>#REF!</v>
      </c>
      <c r="BH3" s="97">
        <f>'1. Demande'!AK66</f>
        <v>0</v>
      </c>
      <c r="BI3" s="97" t="e">
        <f>'1. Demande'!#REF!</f>
        <v>#REF!</v>
      </c>
      <c r="BJ3" s="97" t="str">
        <f>'1. Demande'!H95</f>
        <v>Choisir…</v>
      </c>
      <c r="BK3" s="123" t="e">
        <f>'1. Demande'!#REF!</f>
        <v>#REF!</v>
      </c>
      <c r="BL3" s="123" t="e">
        <f>'1. Demande'!#REF!</f>
        <v>#REF!</v>
      </c>
      <c r="BM3" s="123" t="e">
        <f>'1. Demande'!#REF!</f>
        <v>#REF!</v>
      </c>
      <c r="BN3" s="123" t="e">
        <f>'1. Demande'!#REF!</f>
        <v>#REF!</v>
      </c>
      <c r="BO3" s="123" t="e">
        <f>'1. Demande'!#REF!</f>
        <v>#REF!</v>
      </c>
      <c r="BP3" s="123" t="e">
        <f>'1. Demande'!#REF!</f>
        <v>#REF!</v>
      </c>
      <c r="BQ3" s="123" t="e">
        <f>'1. Demande'!#REF!</f>
        <v>#REF!</v>
      </c>
      <c r="BR3" s="123" t="e">
        <f>'1. Demande'!#REF!</f>
        <v>#REF!</v>
      </c>
      <c r="BS3" s="123" t="e">
        <f>'1. Demande'!#REF!</f>
        <v>#REF!</v>
      </c>
      <c r="BT3" s="123" t="e">
        <f>'1. Demande'!#REF!</f>
        <v>#REF!</v>
      </c>
      <c r="BU3" s="123" t="e">
        <f>'1. Demande'!#REF!</f>
        <v>#REF!</v>
      </c>
      <c r="BV3" s="123" t="e">
        <f>'1. Demande'!#REF!</f>
        <v>#REF!</v>
      </c>
      <c r="BW3" s="123" t="e">
        <f>'1. Demande'!#REF!</f>
        <v>#REF!</v>
      </c>
      <c r="BX3" s="97" t="e">
        <f>'1. Demande'!#REF!</f>
        <v>#REF!</v>
      </c>
      <c r="BY3" s="122">
        <f>'1. Demande'!D70</f>
        <v>0</v>
      </c>
      <c r="BZ3" s="97">
        <f>'1. Demande'!D76</f>
      </c>
      <c r="CA3" s="97">
        <f>'1. Demande'!J76</f>
      </c>
      <c r="CB3" s="97">
        <f>'1. Demande'!N76</f>
        <v>0</v>
      </c>
      <c r="CC3" s="97">
        <f>'1. Demande'!T76</f>
        <v>0</v>
      </c>
      <c r="CD3" s="97">
        <f>'1. Demande'!D77</f>
      </c>
      <c r="CE3" s="97">
        <f>'1. Demande'!J77</f>
      </c>
      <c r="CF3" s="97">
        <f>'1. Demande'!N77</f>
        <v>0</v>
      </c>
      <c r="CG3" s="97">
        <f>'1. Demande'!T77</f>
        <v>0</v>
      </c>
      <c r="CH3" s="97" t="str">
        <f>'1. Demande'!D82</f>
        <v>Total</v>
      </c>
      <c r="CI3" s="97">
        <f>'1. Demande'!J82</f>
        <v>0</v>
      </c>
      <c r="CJ3" s="97">
        <f>'1. Demande'!N82</f>
        <v>0</v>
      </c>
      <c r="CK3" s="97">
        <f>'1. Demande'!T82</f>
        <v>0</v>
      </c>
      <c r="CL3" s="99" t="e">
        <f>'1. Demande'!#REF!</f>
        <v>#REF!</v>
      </c>
      <c r="CM3" s="97">
        <f>'1. Demande'!N103</f>
        <v>0</v>
      </c>
      <c r="CN3" s="97">
        <f>'1. Demande'!N104</f>
        <v>0</v>
      </c>
      <c r="CO3" s="98">
        <f>'1. Demande'!N105</f>
        <v>0</v>
      </c>
      <c r="CP3" s="99" t="str">
        <f>'1. Demande'!D121</f>
        <v>MERN (smTE)</v>
      </c>
      <c r="CQ3" s="97" t="str">
        <f>'1. Demande'!H121</f>
        <v>MERN sous-ministériat à la Transition énergétique</v>
      </c>
      <c r="CR3" s="97" t="str">
        <f>'1. Demande'!V121</f>
        <v>Subvention</v>
      </c>
      <c r="CS3" s="97">
        <f>'1. Demande'!AE121</f>
        <v>0</v>
      </c>
      <c r="CT3" s="97">
        <f>'1. Demande'!AO121</f>
        <v>0</v>
      </c>
      <c r="CU3" s="97" t="str">
        <f>'1. Demande'!D122</f>
        <v>Requérant</v>
      </c>
      <c r="CV3" s="97">
        <f>'1. Demande'!H122</f>
      </c>
      <c r="CW3" s="97" t="str">
        <f>'1. Demande'!V122</f>
        <v>Équité</v>
      </c>
      <c r="CX3" s="97">
        <f>'1. Demande'!AE122</f>
        <v>0</v>
      </c>
      <c r="CY3" s="97">
        <f>'1. Demande'!AO122</f>
        <v>0</v>
      </c>
      <c r="CZ3" s="97" t="str">
        <f>'1. Demande'!D123</f>
        <v>Choisir…</v>
      </c>
      <c r="DA3" s="97">
        <f>'1. Demande'!H123</f>
      </c>
      <c r="DB3" s="97" t="str">
        <f>'1. Demande'!V123</f>
        <v>Choisir…</v>
      </c>
      <c r="DC3" s="97">
        <f>'1. Demande'!AE123</f>
        <v>0</v>
      </c>
      <c r="DD3" s="97">
        <f>'1. Demande'!AO123</f>
        <v>0</v>
      </c>
      <c r="DE3" s="97" t="str">
        <f>'1. Demande'!D124</f>
        <v>Choisir…</v>
      </c>
      <c r="DF3" s="97">
        <f>'1. Demande'!H124</f>
      </c>
      <c r="DG3" s="97" t="str">
        <f>'1. Demande'!V124</f>
        <v>Choisir…</v>
      </c>
      <c r="DH3" s="97">
        <f>'1. Demande'!AE124</f>
        <v>0</v>
      </c>
      <c r="DI3" s="98">
        <f>'1. Demande'!AO124</f>
        <v>0</v>
      </c>
      <c r="DJ3" s="118">
        <f>'1. Demande'!I128</f>
        <v>0</v>
      </c>
      <c r="DK3" s="117">
        <f>'1. Demande'!AJ128</f>
      </c>
    </row>
    <row r="4" ht="15.75" thickTop="1"/>
  </sheetData>
  <sheetProtection password="E71A" sheet="1"/>
  <mergeCells count="9">
    <mergeCell ref="CL1:CO1"/>
    <mergeCell ref="CP1:DI1"/>
    <mergeCell ref="DJ1:DK1"/>
    <mergeCell ref="U1:AG1"/>
    <mergeCell ref="A1:G1"/>
    <mergeCell ref="H1:T1"/>
    <mergeCell ref="AH1:AT1"/>
    <mergeCell ref="AU1:BY1"/>
    <mergeCell ref="BZ1:CK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Feuil4"/>
  <dimension ref="A1:GA141"/>
  <sheetViews>
    <sheetView zoomScalePageLayoutView="0" workbookViewId="0" topLeftCell="A31">
      <selection activeCell="D58" sqref="D58:D59"/>
    </sheetView>
  </sheetViews>
  <sheetFormatPr defaultColWidth="11.421875" defaultRowHeight="15"/>
  <cols>
    <col min="2" max="2" width="21.8515625" style="0" customWidth="1"/>
    <col min="14" max="14" width="13.00390625" style="0" customWidth="1"/>
    <col min="38" max="38" width="12.00390625" style="0" bestFit="1" customWidth="1"/>
    <col min="117" max="117" width="12.00390625" style="0" bestFit="1" customWidth="1"/>
  </cols>
  <sheetData>
    <row r="1" spans="1:183" ht="15">
      <c r="A1" t="s">
        <v>215</v>
      </c>
      <c r="B1" t="s">
        <v>216</v>
      </c>
      <c r="C1" t="s">
        <v>217</v>
      </c>
      <c r="D1" t="s">
        <v>218</v>
      </c>
      <c r="E1" t="s">
        <v>219</v>
      </c>
      <c r="F1" t="s">
        <v>220</v>
      </c>
      <c r="G1" t="s">
        <v>221</v>
      </c>
      <c r="H1" t="s">
        <v>222</v>
      </c>
      <c r="I1" t="s">
        <v>223</v>
      </c>
      <c r="J1" t="s">
        <v>224</v>
      </c>
      <c r="K1" t="s">
        <v>225</v>
      </c>
      <c r="L1" t="s">
        <v>226</v>
      </c>
      <c r="M1" t="s">
        <v>227</v>
      </c>
      <c r="N1" s="166" t="s">
        <v>228</v>
      </c>
      <c r="O1" t="s">
        <v>229</v>
      </c>
      <c r="P1" s="125" t="s">
        <v>230</v>
      </c>
      <c r="Q1" s="126" t="s">
        <v>231</v>
      </c>
      <c r="R1" s="126" t="s">
        <v>232</v>
      </c>
      <c r="S1" s="126" t="s">
        <v>233</v>
      </c>
      <c r="T1" s="126" t="s">
        <v>234</v>
      </c>
      <c r="U1" s="126" t="s">
        <v>235</v>
      </c>
      <c r="V1" s="126" t="s">
        <v>236</v>
      </c>
      <c r="W1" s="126" t="s">
        <v>237</v>
      </c>
      <c r="X1" s="126" t="s">
        <v>238</v>
      </c>
      <c r="Y1" s="126" t="s">
        <v>239</v>
      </c>
      <c r="Z1" s="126" t="s">
        <v>240</v>
      </c>
      <c r="AA1" s="126" t="s">
        <v>241</v>
      </c>
      <c r="AB1" s="126" t="s">
        <v>242</v>
      </c>
      <c r="AC1" s="126" t="s">
        <v>243</v>
      </c>
      <c r="AD1" s="126" t="s">
        <v>244</v>
      </c>
      <c r="AE1" s="126" t="s">
        <v>245</v>
      </c>
      <c r="AF1" s="126" t="s">
        <v>246</v>
      </c>
      <c r="AG1" t="s">
        <v>247</v>
      </c>
      <c r="AH1" t="s">
        <v>248</v>
      </c>
      <c r="AI1" t="s">
        <v>249</v>
      </c>
      <c r="AJ1" t="s">
        <v>250</v>
      </c>
      <c r="AK1" t="s">
        <v>251</v>
      </c>
      <c r="AL1" t="s">
        <v>252</v>
      </c>
      <c r="AM1" t="s">
        <v>253</v>
      </c>
      <c r="AN1" s="166" t="s">
        <v>254</v>
      </c>
      <c r="AO1" s="182" t="s">
        <v>255</v>
      </c>
      <c r="AP1" t="s">
        <v>256</v>
      </c>
      <c r="AQ1" t="s">
        <v>257</v>
      </c>
      <c r="AR1" t="s">
        <v>258</v>
      </c>
      <c r="AS1" t="s">
        <v>259</v>
      </c>
      <c r="AT1" t="s">
        <v>260</v>
      </c>
      <c r="AU1" t="s">
        <v>261</v>
      </c>
      <c r="AV1" t="s">
        <v>262</v>
      </c>
      <c r="AW1" t="s">
        <v>263</v>
      </c>
      <c r="AX1" t="s">
        <v>264</v>
      </c>
      <c r="AY1" t="s">
        <v>265</v>
      </c>
      <c r="AZ1" t="s">
        <v>266</v>
      </c>
      <c r="BA1" t="s">
        <v>267</v>
      </c>
      <c r="BB1" t="s">
        <v>268</v>
      </c>
      <c r="BC1" t="s">
        <v>269</v>
      </c>
      <c r="BD1" s="182" t="s">
        <v>270</v>
      </c>
      <c r="BE1" s="182" t="s">
        <v>271</v>
      </c>
      <c r="BF1" s="182" t="s">
        <v>272</v>
      </c>
      <c r="BG1" t="s">
        <v>273</v>
      </c>
      <c r="BH1" t="s">
        <v>274</v>
      </c>
      <c r="BI1" t="s">
        <v>275</v>
      </c>
      <c r="BJ1" t="s">
        <v>276</v>
      </c>
      <c r="BK1" t="s">
        <v>277</v>
      </c>
      <c r="BL1" t="s">
        <v>278</v>
      </c>
      <c r="BM1" t="s">
        <v>279</v>
      </c>
      <c r="BN1" t="s">
        <v>280</v>
      </c>
      <c r="BO1" t="s">
        <v>281</v>
      </c>
      <c r="BP1" t="s">
        <v>282</v>
      </c>
      <c r="BQ1" t="s">
        <v>283</v>
      </c>
      <c r="BR1" t="s">
        <v>284</v>
      </c>
      <c r="BS1" t="s">
        <v>285</v>
      </c>
      <c r="BT1" t="s">
        <v>286</v>
      </c>
      <c r="BU1" s="182" t="s">
        <v>287</v>
      </c>
      <c r="BV1" s="182" t="s">
        <v>288</v>
      </c>
      <c r="BW1" s="167" t="s">
        <v>289</v>
      </c>
      <c r="BX1" s="167" t="s">
        <v>290</v>
      </c>
      <c r="BY1" s="167" t="s">
        <v>291</v>
      </c>
      <c r="BZ1" s="167" t="s">
        <v>292</v>
      </c>
      <c r="CA1" s="167" t="s">
        <v>293</v>
      </c>
      <c r="CB1" s="167" t="s">
        <v>294</v>
      </c>
      <c r="CC1" s="167" t="s">
        <v>295</v>
      </c>
      <c r="CD1" s="167" t="s">
        <v>296</v>
      </c>
      <c r="CE1" s="167" t="s">
        <v>297</v>
      </c>
      <c r="CF1" s="167" t="s">
        <v>298</v>
      </c>
      <c r="CG1" s="167" t="s">
        <v>299</v>
      </c>
      <c r="CH1" s="167" t="s">
        <v>300</v>
      </c>
      <c r="CI1" s="167" t="s">
        <v>301</v>
      </c>
      <c r="CJ1" s="167" t="s">
        <v>302</v>
      </c>
      <c r="CK1" s="167" t="s">
        <v>303</v>
      </c>
      <c r="CL1" s="167" t="s">
        <v>304</v>
      </c>
      <c r="CM1" s="167" t="s">
        <v>305</v>
      </c>
      <c r="CN1" s="167" t="s">
        <v>306</v>
      </c>
      <c r="CO1" s="167" t="s">
        <v>307</v>
      </c>
      <c r="CP1" s="169" t="s">
        <v>308</v>
      </c>
      <c r="CQ1" s="169" t="s">
        <v>309</v>
      </c>
      <c r="CR1" s="169" t="s">
        <v>310</v>
      </c>
      <c r="CS1" s="169" t="s">
        <v>311</v>
      </c>
      <c r="CT1" s="169" t="s">
        <v>312</v>
      </c>
      <c r="CU1" s="169" t="s">
        <v>313</v>
      </c>
      <c r="CV1" s="169" t="s">
        <v>314</v>
      </c>
      <c r="CW1" s="169" t="s">
        <v>315</v>
      </c>
      <c r="CX1" s="169" t="s">
        <v>316</v>
      </c>
      <c r="CY1" s="169" t="s">
        <v>317</v>
      </c>
      <c r="CZ1" s="169" t="s">
        <v>318</v>
      </c>
      <c r="DA1" s="169" t="s">
        <v>319</v>
      </c>
      <c r="DB1" s="169" t="s">
        <v>320</v>
      </c>
      <c r="DC1" s="169" t="s">
        <v>321</v>
      </c>
      <c r="DD1" s="169" t="s">
        <v>322</v>
      </c>
      <c r="DE1" s="169" t="s">
        <v>323</v>
      </c>
      <c r="DF1" s="169" t="s">
        <v>324</v>
      </c>
      <c r="DG1" s="169" t="s">
        <v>325</v>
      </c>
      <c r="DH1" s="169" t="s">
        <v>326</v>
      </c>
      <c r="DI1" t="s">
        <v>327</v>
      </c>
      <c r="DJ1" t="s">
        <v>328</v>
      </c>
      <c r="DK1" t="s">
        <v>329</v>
      </c>
      <c r="DL1" t="s">
        <v>330</v>
      </c>
      <c r="DM1" t="s">
        <v>331</v>
      </c>
      <c r="DN1" t="s">
        <v>332</v>
      </c>
      <c r="DO1" t="s">
        <v>333</v>
      </c>
      <c r="DP1" t="s">
        <v>60</v>
      </c>
      <c r="DQ1" t="s">
        <v>334</v>
      </c>
      <c r="DR1" t="s">
        <v>335</v>
      </c>
      <c r="DS1" t="s">
        <v>336</v>
      </c>
      <c r="DT1" t="s">
        <v>337</v>
      </c>
      <c r="DU1" t="s">
        <v>338</v>
      </c>
      <c r="DV1" t="s">
        <v>339</v>
      </c>
      <c r="DW1" t="s">
        <v>340</v>
      </c>
      <c r="DX1" t="s">
        <v>341</v>
      </c>
      <c r="DY1" t="s">
        <v>342</v>
      </c>
      <c r="DZ1" t="s">
        <v>343</v>
      </c>
      <c r="EA1" t="s">
        <v>344</v>
      </c>
      <c r="EB1" t="s">
        <v>345</v>
      </c>
      <c r="EC1" t="s">
        <v>346</v>
      </c>
      <c r="ED1" t="s">
        <v>347</v>
      </c>
      <c r="EE1" t="s">
        <v>348</v>
      </c>
      <c r="EF1" t="s">
        <v>349</v>
      </c>
      <c r="EG1" t="s">
        <v>350</v>
      </c>
      <c r="EH1" t="s">
        <v>351</v>
      </c>
      <c r="EI1" t="s">
        <v>352</v>
      </c>
      <c r="EJ1" t="s">
        <v>353</v>
      </c>
      <c r="EK1" t="s">
        <v>354</v>
      </c>
      <c r="EL1" t="s">
        <v>355</v>
      </c>
      <c r="EM1" t="s">
        <v>356</v>
      </c>
      <c r="EN1" t="s">
        <v>357</v>
      </c>
      <c r="EO1" t="s">
        <v>358</v>
      </c>
      <c r="EP1" t="s">
        <v>359</v>
      </c>
      <c r="EQ1" s="182" t="s">
        <v>360</v>
      </c>
      <c r="ER1" s="182" t="s">
        <v>361</v>
      </c>
      <c r="ES1" t="s">
        <v>80</v>
      </c>
      <c r="ET1" t="s">
        <v>362</v>
      </c>
      <c r="EU1" t="s">
        <v>363</v>
      </c>
      <c r="EV1" t="s">
        <v>364</v>
      </c>
      <c r="EW1" t="s">
        <v>365</v>
      </c>
      <c r="EX1" t="s">
        <v>366</v>
      </c>
      <c r="EY1" t="s">
        <v>367</v>
      </c>
      <c r="EZ1" t="s">
        <v>368</v>
      </c>
      <c r="FA1" t="s">
        <v>369</v>
      </c>
      <c r="FB1" t="s">
        <v>370</v>
      </c>
      <c r="FC1" t="s">
        <v>371</v>
      </c>
      <c r="FD1" t="s">
        <v>372</v>
      </c>
      <c r="FE1" t="s">
        <v>373</v>
      </c>
      <c r="FF1" t="s">
        <v>374</v>
      </c>
      <c r="FG1" t="s">
        <v>375</v>
      </c>
      <c r="FH1" t="s">
        <v>376</v>
      </c>
      <c r="FI1" t="s">
        <v>377</v>
      </c>
      <c r="FJ1" t="s">
        <v>65</v>
      </c>
      <c r="FK1" t="s">
        <v>378</v>
      </c>
      <c r="FL1" t="s">
        <v>26</v>
      </c>
      <c r="FM1" t="s">
        <v>379</v>
      </c>
      <c r="FN1" t="s">
        <v>380</v>
      </c>
      <c r="FO1" t="s">
        <v>381</v>
      </c>
      <c r="FP1" t="s">
        <v>382</v>
      </c>
      <c r="FQ1" t="s">
        <v>383</v>
      </c>
      <c r="FR1" t="s">
        <v>384</v>
      </c>
      <c r="FS1" t="s">
        <v>385</v>
      </c>
      <c r="FT1" t="s">
        <v>386</v>
      </c>
      <c r="FU1" t="s">
        <v>387</v>
      </c>
      <c r="FV1" t="s">
        <v>388</v>
      </c>
      <c r="FW1" t="s">
        <v>389</v>
      </c>
      <c r="FX1" t="s">
        <v>390</v>
      </c>
      <c r="FY1" t="s">
        <v>391</v>
      </c>
      <c r="FZ1" t="s">
        <v>392</v>
      </c>
      <c r="GA1" t="s">
        <v>394</v>
      </c>
    </row>
    <row r="2" spans="1:183" ht="15">
      <c r="A2" s="127" t="s">
        <v>393</v>
      </c>
      <c r="B2" s="127"/>
      <c r="C2" s="127"/>
      <c r="D2" s="128"/>
      <c r="E2" s="127">
        <f>'1. Demande'!Z67</f>
      </c>
      <c r="F2" s="127"/>
      <c r="G2" s="127" t="str">
        <f>'1. Demande'!H67</f>
        <v>Choisir…</v>
      </c>
      <c r="H2" s="127"/>
      <c r="I2" s="127"/>
      <c r="J2" s="127"/>
      <c r="K2" s="127"/>
      <c r="L2" s="127"/>
      <c r="M2" s="127"/>
      <c r="N2" s="165" t="b">
        <v>1</v>
      </c>
      <c r="O2" s="127"/>
      <c r="P2" s="129"/>
      <c r="Q2" s="130"/>
      <c r="R2" s="130"/>
      <c r="S2" s="130"/>
      <c r="T2" s="130"/>
      <c r="U2" s="130"/>
      <c r="V2" s="130"/>
      <c r="W2" s="130"/>
      <c r="X2" s="130"/>
      <c r="Y2" s="130"/>
      <c r="Z2" s="130"/>
      <c r="AA2" s="130"/>
      <c r="AB2" s="130"/>
      <c r="AC2" s="130"/>
      <c r="AD2" s="130"/>
      <c r="AE2" s="130"/>
      <c r="AF2" s="130">
        <v>10</v>
      </c>
      <c r="AG2" s="127">
        <f>IF('1. Demande'!H8="","",'1. Demande'!H8)</f>
      </c>
      <c r="AH2" s="127">
        <f>IF('1. Demande'!H10="","",'1. Demande'!H10)</f>
      </c>
      <c r="AI2" s="127">
        <f>IF('1. Demande'!H12="","",'1. Demande'!H12)</f>
      </c>
      <c r="AJ2" s="127">
        <f>IF('1. Demande'!Z12="","",'1. Demande'!Z12)</f>
      </c>
      <c r="AK2" s="171">
        <f>IF('1. Demande'!AL8="","",'1. Demande'!AL8)</f>
      </c>
      <c r="AL2" s="127">
        <f>IF('1. Demande'!AI10="","",'1. Demande'!AI10)</f>
      </c>
      <c r="AM2" s="127">
        <f>IF('1. Demande'!AI12="","",'1. Demande'!AI12)</f>
        <v>0</v>
      </c>
      <c r="AN2" s="165" t="b">
        <v>0</v>
      </c>
      <c r="AO2" s="181">
        <v>1</v>
      </c>
      <c r="AP2" s="127" t="e">
        <f ca="1">INDEX(OFFSET(Appel,,-1,,),MATCH('1. Demande'!H18,Appel,0))</f>
        <v>#N/A</v>
      </c>
      <c r="AQ2" s="127">
        <f>IF('1. Demande'!M18="","",'1. Demande'!M18)</f>
      </c>
      <c r="AR2" s="127">
        <f>IF('1. Demande'!AC18="","",'1. Demande'!AC18)</f>
      </c>
      <c r="AS2" s="127">
        <f>IF('1. Demande'!AQ18="","",'1. Demande'!AQ18)</f>
      </c>
      <c r="AT2" s="127">
        <f>IF('1. Demande'!H20="","",'1. Demande'!H20)</f>
      </c>
      <c r="AU2" s="127">
        <f>IF('1. Demande'!AC20="","",'1. Demande'!AC20)</f>
      </c>
      <c r="AV2" s="127">
        <f>IF('1. Demande'!H24="","",'1. Demande'!H24)</f>
      </c>
      <c r="AW2" s="127">
        <f>IF('1. Demande'!H26="","",'1. Demande'!H26)</f>
      </c>
      <c r="AX2" s="127">
        <f>IF('1. Demande'!H28="","",'1. Demande'!H28)</f>
      </c>
      <c r="AY2" s="127">
        <f>IF('1. Demande'!Z28="","",'1. Demande'!Z28)</f>
      </c>
      <c r="AZ2" s="127">
        <f>IF('1. Demande'!AI24="","",'1. Demande'!AI24)</f>
      </c>
      <c r="BA2" s="127">
        <f>IF('1. Demande'!AI26="","",'1. Demande'!AI26)</f>
      </c>
      <c r="BB2" s="127">
        <f>IF('1. Demande'!AR26="","",'1. Demande'!AR26)</f>
      </c>
      <c r="BC2" s="127">
        <f>IF('1. Demande'!AI28="","",'1. Demande'!AI28)</f>
      </c>
      <c r="BD2" s="181" t="b">
        <v>0</v>
      </c>
      <c r="BE2" s="181" t="b">
        <v>0</v>
      </c>
      <c r="BF2" s="181">
        <v>2</v>
      </c>
      <c r="BG2" s="127" t="e">
        <f ca="1">INDEX(OFFSET(Appel,,-1,,),MATCH('1. Demande'!H33,Appel,0))</f>
        <v>#N/A</v>
      </c>
      <c r="BH2" s="127">
        <f>IF('1. Demande'!M33="","",'1. Demande'!M33)</f>
      </c>
      <c r="BI2" s="127">
        <f>IF('1. Demande'!AC33="","",'1. Demande'!AC33)</f>
      </c>
      <c r="BJ2" s="127">
        <f>IF('1. Demande'!AQ33="","",'1. Demande'!AQ33)</f>
      </c>
      <c r="BK2" s="127">
        <f>IF('1. Demande'!H35="","",'1. Demande'!H35)</f>
      </c>
      <c r="BL2" s="127">
        <f>IF('1. Demande'!AC35="","",'1. Demande'!AC35)</f>
      </c>
      <c r="BM2" s="127">
        <f>IF('1. Demande'!H37="","",'1. Demande'!H37)</f>
      </c>
      <c r="BN2" s="127">
        <f>IF('1. Demande'!H39="","",'1. Demande'!H39)</f>
      </c>
      <c r="BO2" s="127">
        <f>IF('1. Demande'!H41="","",'1. Demande'!H41)</f>
      </c>
      <c r="BP2" s="127">
        <f>IF('1. Demande'!Z41="","",'1. Demande'!Z41)</f>
      </c>
      <c r="BQ2" s="127">
        <f>IF('1. Demande'!AI37="","",'1. Demande'!AI37)</f>
      </c>
      <c r="BR2" s="127">
        <f>IF('1. Demande'!AI39="","",'1. Demande'!AI39)</f>
      </c>
      <c r="BS2" s="127">
        <f>IF('1. Demande'!AR39="","",'1. Demande'!AR39)</f>
      </c>
      <c r="BT2" s="127">
        <f>IF('1. Demande'!AI41="","",'1. Demande'!AI41)</f>
      </c>
      <c r="BU2" s="181" t="b">
        <v>0</v>
      </c>
      <c r="BV2" s="181" t="b">
        <v>1</v>
      </c>
      <c r="BW2" s="168"/>
      <c r="BX2" s="168"/>
      <c r="BY2" s="168"/>
      <c r="BZ2" s="168"/>
      <c r="CA2" s="168"/>
      <c r="CB2" s="168"/>
      <c r="CC2" s="168"/>
      <c r="CD2" s="168"/>
      <c r="CE2" s="168"/>
      <c r="CF2" s="168"/>
      <c r="CG2" s="168"/>
      <c r="CH2" s="168"/>
      <c r="CI2" s="168"/>
      <c r="CJ2" s="168"/>
      <c r="CK2" s="168"/>
      <c r="CL2" s="168"/>
      <c r="CM2" s="168"/>
      <c r="CN2" s="168"/>
      <c r="CO2" s="168"/>
      <c r="CP2" s="170">
        <v>18</v>
      </c>
      <c r="CQ2" s="170" t="e">
        <f ca="1">INDEX(OFFSET(Appel,,-1,,),MATCH('1. Demande'!H44,Appel,0))</f>
        <v>#N/A</v>
      </c>
      <c r="CR2" s="170">
        <f>IF('1. Demande'!M44="","",'1. Demande'!M44)</f>
      </c>
      <c r="CS2" s="170">
        <f>IF('1. Demande'!AC44="","",'1. Demande'!AC44)</f>
      </c>
      <c r="CT2" s="170">
        <f>IF('1. Demande'!AQ44="","",'1. Demande'!AQ44)</f>
      </c>
      <c r="CU2" s="170">
        <f>IF('1. Demande'!H46="","",'1. Demande'!H46)</f>
      </c>
      <c r="CV2" s="170">
        <f>IF('1. Demande'!AC46="","",'1. Demande'!AC46)</f>
      </c>
      <c r="CW2" s="170">
        <f>IF('1. Demande'!H48="","",'1. Demande'!H48)</f>
      </c>
      <c r="CX2" s="170">
        <f>IF('1. Demande'!H50="","",'1. Demande'!H50)</f>
      </c>
      <c r="CY2" s="170">
        <f>IF('1. Demande'!H52="","",'1. Demande'!H52)</f>
      </c>
      <c r="CZ2" s="170">
        <f>IF('1. Demande'!Z52="","",'1. Demande'!Z52)</f>
      </c>
      <c r="DA2" s="171">
        <f>IF('1. Demande'!AI48="","",'1. Demande'!AI48)</f>
      </c>
      <c r="DB2" s="170">
        <f>IF('1. Demande'!AI50="","",'1. Demande'!AI50)</f>
      </c>
      <c r="DC2" s="170">
        <f>IF('1. Demande'!AR50="","",'1. Demande'!AR50)</f>
      </c>
      <c r="DD2" s="170">
        <f>IF('1. Demande'!AI52="","",'1. Demande'!AI52)</f>
      </c>
      <c r="DE2" s="171">
        <f>IF('1. Demande'!AE54="","",'1. Demande'!AE54)</f>
      </c>
      <c r="DF2" s="171" t="e">
        <f>IF('1. Demande'!#REF!="","",'1. Demande'!#REF!)</f>
        <v>#REF!</v>
      </c>
      <c r="DG2" s="165" t="b">
        <v>0</v>
      </c>
      <c r="DH2" s="165" t="b">
        <v>0</v>
      </c>
      <c r="DI2" s="181">
        <f>IF('1. Demande'!H58="","",'1. Demande'!H58)</f>
      </c>
      <c r="DJ2" s="127">
        <f>IF('1. Demande'!H60="","",'1. Demande'!H60)</f>
      </c>
      <c r="DK2" s="127">
        <f>IF('1. Demande'!H62="","",'1. Demande'!H62)</f>
      </c>
      <c r="DL2" s="127">
        <f>IF('1. Demande'!Z62="","",'1. Demande'!Z62)</f>
      </c>
      <c r="DM2" s="181">
        <f>IF('1. Demande'!AI58="","",'1. Demande'!AI58)</f>
      </c>
      <c r="DN2" s="127" t="e">
        <f ca="1">IF('1. Demande'!AI62="Choisir…","",INDEX(OFFSET(Secteur,,1,,),MATCH('1. Demande'!AI62,Secteur,0)))</f>
        <v>#N/A</v>
      </c>
      <c r="DO2" s="183" t="s">
        <v>543</v>
      </c>
      <c r="DP2" s="181" t="e">
        <f ca="1">INDEX(OFFSET(Secteur,,2,,),MATCH('1. Demande'!AI62,Secteur,0))</f>
        <v>#N/A</v>
      </c>
      <c r="DQ2" s="179" t="s">
        <v>1052</v>
      </c>
      <c r="DR2" s="181">
        <f>IF('1. Demande'!F93="Choisir…","",'1. Demande'!F93)</f>
      </c>
      <c r="DS2" s="183" t="s">
        <v>543</v>
      </c>
      <c r="DT2" s="181">
        <f ca="1">INDEX(OFFSET(Triphasé,,1,,),MATCH('1. Demande'!F93,Triphasé,0))</f>
        <v>0</v>
      </c>
      <c r="DU2" s="184">
        <f>'1. Demande'!AT74</f>
        <v>0</v>
      </c>
      <c r="DV2" s="181" t="b">
        <v>0</v>
      </c>
      <c r="DW2" s="181" t="str">
        <f>"(- de 36TJ)"</f>
        <v>(- de 36TJ)</v>
      </c>
      <c r="DX2" s="181">
        <f ca="1">INDEX(OFFSET(OuiNon,,2,,),MATCH('1. Demande'!H95,OuiNon,0))</f>
        <v>0</v>
      </c>
      <c r="DY2" s="181"/>
      <c r="DZ2" s="181"/>
      <c r="EA2" s="181"/>
      <c r="EB2" s="127">
        <f>IF('1. Demande'!AI60="","",'1. Demande'!AI60)</f>
      </c>
      <c r="EC2" s="181">
        <f>IF('1. Demande'!AO60="","",'1. Demande'!AO60)</f>
      </c>
      <c r="ED2" s="127">
        <f>IF('1. Demande'!AE74="","",'1. Demande'!AE74)</f>
      </c>
      <c r="EE2" s="127">
        <f>IF('1. Demande'!AN74="","",'1. Demande'!AN74)</f>
      </c>
      <c r="EF2" s="181">
        <f>IF('1. Demande'!H97="","",'1. Demande'!H97)</f>
      </c>
      <c r="EG2" s="185">
        <f>IF('1. Demande'!O99="","",'1. Demande'!O99)</f>
      </c>
      <c r="EH2" s="185">
        <f>IF('1. Demande'!AN99="","",'1. Demande'!AN99)</f>
      </c>
      <c r="EI2" s="185">
        <f>IF('1. Demande'!AB99="","",'1. Demande'!AB99)</f>
      </c>
      <c r="EJ2" s="185" t="b">
        <v>0</v>
      </c>
      <c r="EK2" s="186">
        <v>0</v>
      </c>
      <c r="EL2" s="182" t="e">
        <f>IF(EL3=TRUE,"Résidentiel","")</f>
        <v>#N/A</v>
      </c>
      <c r="EM2" s="182" t="e">
        <f>IF(EM3=TRUE,"Commercial","")</f>
        <v>#N/A</v>
      </c>
      <c r="EN2" s="182" t="e">
        <f>IF(EN3=TRUE,"Institutionnel","")</f>
        <v>#N/A</v>
      </c>
      <c r="EO2" s="182" t="e">
        <f>IF(EO3=TRUE,"Municipal","")</f>
        <v>#N/A</v>
      </c>
      <c r="EP2" s="182" t="e">
        <f>IF(EP3=TRUE,"Transport","")</f>
        <v>#N/A</v>
      </c>
      <c r="EQ2" s="182" t="e">
        <f>IF(EQ3=TRUE,"Industriel","")</f>
        <v>#N/A</v>
      </c>
      <c r="ER2" s="182" t="e">
        <f>IF(ER3=TRUE,"Agricole","")</f>
        <v>#N/A</v>
      </c>
      <c r="ES2" s="182" t="e">
        <f>IF(ES3=TRUE,ET2,"")</f>
        <v>#N/A</v>
      </c>
      <c r="ET2" s="181"/>
      <c r="EU2" s="181" t="b">
        <v>0</v>
      </c>
      <c r="EV2" s="181">
        <f>IF(EV3=TRUE,"Bioénergie","")</f>
      </c>
      <c r="EW2" s="181">
        <f>IF(EW3=TRUE,"Éolienne","")</f>
      </c>
      <c r="EX2" s="181">
        <f>IF(EX3=TRUE,"Géothermie","")</f>
      </c>
      <c r="EY2" s="181">
        <f>IF(EY3=TRUE,"Hydrolienne","")</f>
      </c>
      <c r="EZ2" s="181">
        <f>IF(EZ3=TRUE,"Hydrogène","")</f>
      </c>
      <c r="FA2" s="181">
        <f>IF(FA3=TRUE,"Marémotrice","")</f>
      </c>
      <c r="FB2" s="181">
        <f>IF(FB3=TRUE,"Solaire","")</f>
      </c>
      <c r="FC2" s="181">
        <f>IF(FC3=TRUE,FD2,"")</f>
      </c>
      <c r="FD2" s="181"/>
      <c r="FE2" s="181" t="b">
        <v>0</v>
      </c>
      <c r="FF2" s="181">
        <f>IF(FE3=TRUE,1,"")</f>
      </c>
      <c r="FG2" s="181">
        <f>IF(FF3=TRUE,3,"")</f>
      </c>
      <c r="FH2" s="181">
        <f>IF(FG3=TRUE,4,"")</f>
      </c>
      <c r="FI2" s="181">
        <f>IF(FH3=TRUE,2,"")</f>
      </c>
      <c r="FJ2" s="181">
        <f>IF(FI3=TRUE,5,"")</f>
      </c>
      <c r="FK2" s="181">
        <f>IF(FJ3=TRUE,7,"")</f>
      </c>
      <c r="FL2" s="181">
        <f>IF(FK3=TRUE,6,"")</f>
      </c>
      <c r="FM2" s="181">
        <f>IF(FL3=TRUE,6,"")</f>
      </c>
      <c r="FN2" s="187"/>
      <c r="FO2" s="188">
        <f>IF('1. Demande'!AE121="","",'1. Demande'!AE121)</f>
        <v>0</v>
      </c>
      <c r="FP2" s="131">
        <f>IF('1. Demande'!AJ128="","",'1. Demande'!AJ128)</f>
      </c>
      <c r="FQ2" s="189">
        <f>'1. Demande'!R116</f>
        <v>0</v>
      </c>
      <c r="FR2" s="189">
        <f>'1. Demande'!V116</f>
        <v>0</v>
      </c>
      <c r="FS2" s="132">
        <f>FQ2+FR2</f>
        <v>0</v>
      </c>
      <c r="FT2" s="189">
        <f>'1. Demande'!AE116</f>
        <v>0</v>
      </c>
      <c r="FU2" s="189">
        <f>'1. Demande'!AJ116</f>
        <v>0</v>
      </c>
      <c r="FV2" s="132">
        <f>FU2+FT2</f>
        <v>0</v>
      </c>
      <c r="FW2" s="181">
        <v>1</v>
      </c>
      <c r="FX2" s="182"/>
      <c r="FY2" s="182"/>
      <c r="FZ2" s="182"/>
      <c r="GA2" t="b">
        <v>1</v>
      </c>
    </row>
    <row r="3" spans="37:171" ht="15">
      <c r="AK3" s="172" t="s">
        <v>530</v>
      </c>
      <c r="BW3" t="s">
        <v>532</v>
      </c>
      <c r="CP3" t="s">
        <v>533</v>
      </c>
      <c r="DI3" s="192"/>
      <c r="DJ3" s="182"/>
      <c r="DK3" s="182"/>
      <c r="DL3" s="182"/>
      <c r="DM3" s="182"/>
      <c r="DN3" s="182"/>
      <c r="DO3" s="182"/>
      <c r="DP3" s="182"/>
      <c r="DQ3" s="182"/>
      <c r="DZ3" s="182"/>
      <c r="EF3" s="182"/>
      <c r="EG3" s="182"/>
      <c r="EH3" s="182"/>
      <c r="EI3" s="182"/>
      <c r="EK3" s="182"/>
      <c r="EL3" s="182" t="e">
        <f aca="true" t="shared" si="0" ref="EL3:EQ3">($DP$2=EL1)</f>
        <v>#N/A</v>
      </c>
      <c r="EM3" s="182" t="e">
        <f t="shared" si="0"/>
        <v>#N/A</v>
      </c>
      <c r="EN3" s="182" t="e">
        <f t="shared" si="0"/>
        <v>#N/A</v>
      </c>
      <c r="EO3" s="182" t="e">
        <f t="shared" si="0"/>
        <v>#N/A</v>
      </c>
      <c r="EP3" s="182" t="e">
        <f t="shared" si="0"/>
        <v>#N/A</v>
      </c>
      <c r="EQ3" s="182" t="e">
        <f t="shared" si="0"/>
        <v>#N/A</v>
      </c>
      <c r="ER3" s="182" t="e">
        <f>($DP$2=ER1)</f>
        <v>#N/A</v>
      </c>
      <c r="ES3" s="182" t="e">
        <f>($DP$2=ES1)</f>
        <v>#N/A</v>
      </c>
      <c r="EU3" s="182"/>
      <c r="EV3" s="181" t="b">
        <v>0</v>
      </c>
      <c r="EW3" s="181" t="b">
        <v>0</v>
      </c>
      <c r="EX3" s="181" t="b">
        <v>0</v>
      </c>
      <c r="EY3" s="181" t="b">
        <v>0</v>
      </c>
      <c r="EZ3" s="181" t="b">
        <v>0</v>
      </c>
      <c r="FA3" s="181" t="b">
        <v>0</v>
      </c>
      <c r="FB3" s="181" t="b">
        <v>0</v>
      </c>
      <c r="FC3" s="181" t="b">
        <v>0</v>
      </c>
      <c r="FE3" s="181" t="b">
        <v>0</v>
      </c>
      <c r="FF3" s="181" t="b">
        <v>0</v>
      </c>
      <c r="FG3" s="181" t="b">
        <v>0</v>
      </c>
      <c r="FH3" s="181" t="b">
        <v>0</v>
      </c>
      <c r="FI3" s="181" t="b">
        <v>0</v>
      </c>
      <c r="FJ3" s="181" t="b">
        <v>0</v>
      </c>
      <c r="FK3" s="181" t="b">
        <v>0</v>
      </c>
      <c r="FL3" s="182"/>
      <c r="FM3" s="181" t="b">
        <v>0</v>
      </c>
      <c r="FO3" t="s">
        <v>534</v>
      </c>
    </row>
    <row r="4" spans="21:169" ht="15">
      <c r="U4" s="173" t="s">
        <v>535</v>
      </c>
      <c r="V4" s="173" t="s">
        <v>536</v>
      </c>
      <c r="W4" s="176"/>
      <c r="X4" s="176"/>
      <c r="DI4" s="182"/>
      <c r="DM4" s="182"/>
      <c r="DN4" s="182"/>
      <c r="DO4" s="182"/>
      <c r="DP4" s="182"/>
      <c r="FE4" s="182">
        <v>1</v>
      </c>
      <c r="FF4" s="182">
        <v>3</v>
      </c>
      <c r="FG4" s="182">
        <v>4</v>
      </c>
      <c r="FH4" s="182">
        <v>2</v>
      </c>
      <c r="FI4" s="182">
        <v>5</v>
      </c>
      <c r="FJ4" s="182">
        <v>7</v>
      </c>
      <c r="FK4" s="182">
        <v>6</v>
      </c>
      <c r="FL4" s="182"/>
      <c r="FM4" s="182"/>
    </row>
    <row r="5" spans="21:24" ht="15">
      <c r="U5" s="174"/>
      <c r="V5" s="175" t="s">
        <v>8</v>
      </c>
      <c r="W5" s="176"/>
      <c r="X5" s="176"/>
    </row>
    <row r="6" spans="1:138" ht="15" customHeight="1">
      <c r="A6" t="s">
        <v>531</v>
      </c>
      <c r="B6" t="s">
        <v>7</v>
      </c>
      <c r="I6" s="979" t="s">
        <v>567</v>
      </c>
      <c r="J6" s="979"/>
      <c r="K6" s="979" t="s">
        <v>568</v>
      </c>
      <c r="L6" s="979"/>
      <c r="U6" s="177" t="s">
        <v>537</v>
      </c>
      <c r="V6" s="177" t="s">
        <v>538</v>
      </c>
      <c r="W6" s="176" t="s">
        <v>539</v>
      </c>
      <c r="X6" s="178" t="s">
        <v>540</v>
      </c>
      <c r="EH6" s="193"/>
    </row>
    <row r="7" spans="2:138" ht="15">
      <c r="B7" s="210" t="s">
        <v>8</v>
      </c>
      <c r="I7" t="s">
        <v>522</v>
      </c>
      <c r="J7" t="s">
        <v>523</v>
      </c>
      <c r="K7" t="s">
        <v>522</v>
      </c>
      <c r="L7" t="s">
        <v>523</v>
      </c>
      <c r="U7" s="178" t="s">
        <v>537</v>
      </c>
      <c r="V7" s="177" t="s">
        <v>541</v>
      </c>
      <c r="W7" s="176" t="s">
        <v>539</v>
      </c>
      <c r="X7" s="178" t="s">
        <v>542</v>
      </c>
      <c r="EH7" s="193"/>
    </row>
    <row r="8" spans="1:24" ht="15">
      <c r="A8">
        <v>1</v>
      </c>
      <c r="B8" s="211" t="s">
        <v>39</v>
      </c>
      <c r="H8" t="e">
        <v>#REF!</v>
      </c>
      <c r="I8" t="e">
        <v>#REF!</v>
      </c>
      <c r="J8" t="e">
        <v>#REF!</v>
      </c>
      <c r="K8" t="e">
        <v>#REF!</v>
      </c>
      <c r="L8" t="e">
        <v>#REF!</v>
      </c>
      <c r="U8" s="177" t="s">
        <v>543</v>
      </c>
      <c r="V8" s="177" t="s">
        <v>544</v>
      </c>
      <c r="W8" s="176" t="s">
        <v>361</v>
      </c>
      <c r="X8" s="178" t="s">
        <v>545</v>
      </c>
    </row>
    <row r="9" spans="1:24" ht="15">
      <c r="A9">
        <v>2</v>
      </c>
      <c r="B9" s="212" t="s">
        <v>40</v>
      </c>
      <c r="H9" t="e">
        <v>#REF!</v>
      </c>
      <c r="I9" t="e">
        <v>#REF!</v>
      </c>
      <c r="J9" t="e">
        <v>#REF!</v>
      </c>
      <c r="K9" t="e">
        <v>#REF!</v>
      </c>
      <c r="L9" t="e">
        <v>#REF!</v>
      </c>
      <c r="U9" s="177" t="s">
        <v>543</v>
      </c>
      <c r="V9" s="177" t="s">
        <v>546</v>
      </c>
      <c r="W9" s="176" t="s">
        <v>539</v>
      </c>
      <c r="X9" s="178" t="s">
        <v>540</v>
      </c>
    </row>
    <row r="10" spans="3:24" ht="15">
      <c r="C10" t="s">
        <v>1120</v>
      </c>
      <c r="E10" t="s">
        <v>1121</v>
      </c>
      <c r="H10" t="e">
        <v>#REF!</v>
      </c>
      <c r="I10" t="e">
        <v>#REF!</v>
      </c>
      <c r="J10" t="e">
        <v>#REF!</v>
      </c>
      <c r="K10" t="e">
        <v>#REF!</v>
      </c>
      <c r="L10" t="e">
        <v>#REF!</v>
      </c>
      <c r="U10" s="178" t="s">
        <v>543</v>
      </c>
      <c r="V10" s="177" t="s">
        <v>547</v>
      </c>
      <c r="W10" s="176" t="s">
        <v>539</v>
      </c>
      <c r="X10" s="178" t="s">
        <v>542</v>
      </c>
    </row>
    <row r="11" spans="1:24" ht="15">
      <c r="A11" t="s">
        <v>756</v>
      </c>
      <c r="C11" t="s">
        <v>8</v>
      </c>
      <c r="H11" t="e">
        <v>#REF!</v>
      </c>
      <c r="I11" t="e">
        <v>#REF!</v>
      </c>
      <c r="J11" t="e">
        <v>#REF!</v>
      </c>
      <c r="K11" t="e">
        <v>#REF!</v>
      </c>
      <c r="L11" t="e">
        <v>#REF!</v>
      </c>
      <c r="U11" s="177" t="s">
        <v>543</v>
      </c>
      <c r="V11" s="177" t="s">
        <v>548</v>
      </c>
      <c r="W11" s="176" t="s">
        <v>360</v>
      </c>
      <c r="X11" s="178" t="s">
        <v>545</v>
      </c>
    </row>
    <row r="12" spans="1:24" ht="15">
      <c r="A12" s="430" t="s">
        <v>61</v>
      </c>
      <c r="B12" t="s">
        <v>103</v>
      </c>
      <c r="C12" t="s">
        <v>61</v>
      </c>
      <c r="H12" t="e">
        <v>#REF!</v>
      </c>
      <c r="I12" t="e">
        <v>#REF!</v>
      </c>
      <c r="J12" t="e">
        <v>#REF!</v>
      </c>
      <c r="K12" t="e">
        <v>#REF!</v>
      </c>
      <c r="L12" t="e">
        <v>#REF!</v>
      </c>
      <c r="U12" s="177" t="s">
        <v>543</v>
      </c>
      <c r="V12" s="177" t="s">
        <v>549</v>
      </c>
      <c r="W12" s="176" t="s">
        <v>360</v>
      </c>
      <c r="X12" s="178" t="s">
        <v>542</v>
      </c>
    </row>
    <row r="13" spans="1:24" ht="15">
      <c r="A13" s="431" t="s">
        <v>26</v>
      </c>
      <c r="B13" t="s">
        <v>36</v>
      </c>
      <c r="C13" t="s">
        <v>26</v>
      </c>
      <c r="H13" t="e">
        <v>#REF!</v>
      </c>
      <c r="I13" t="e">
        <v>#REF!</v>
      </c>
      <c r="J13" t="e">
        <v>#REF!</v>
      </c>
      <c r="K13" t="e">
        <v>#REF!</v>
      </c>
      <c r="L13" t="e">
        <v>#REF!</v>
      </c>
      <c r="U13" s="177" t="s">
        <v>550</v>
      </c>
      <c r="V13" s="177" t="s">
        <v>551</v>
      </c>
      <c r="W13" s="176" t="s">
        <v>539</v>
      </c>
      <c r="X13" s="178" t="s">
        <v>540</v>
      </c>
    </row>
    <row r="14" spans="1:24" ht="26.25">
      <c r="A14" s="135" t="s">
        <v>66</v>
      </c>
      <c r="B14" t="s">
        <v>36</v>
      </c>
      <c r="C14" t="s">
        <v>378</v>
      </c>
      <c r="H14" t="s">
        <v>520</v>
      </c>
      <c r="I14" t="e">
        <f>SUM(I8:I13)</f>
        <v>#REF!</v>
      </c>
      <c r="J14" t="e">
        <f>SUM(J8:J13)</f>
        <v>#REF!</v>
      </c>
      <c r="K14" t="e">
        <f>SUM(K8:K13)</f>
        <v>#REF!</v>
      </c>
      <c r="L14" t="e">
        <f>SUM(L8:L13)</f>
        <v>#REF!</v>
      </c>
      <c r="U14" s="177" t="s">
        <v>550</v>
      </c>
      <c r="V14" s="177" t="s">
        <v>552</v>
      </c>
      <c r="W14" s="176" t="s">
        <v>539</v>
      </c>
      <c r="X14" s="178" t="s">
        <v>542</v>
      </c>
    </row>
    <row r="15" spans="1:24" ht="15">
      <c r="A15" s="432" t="s">
        <v>63</v>
      </c>
      <c r="B15" t="s">
        <v>36</v>
      </c>
      <c r="C15" t="s">
        <v>1119</v>
      </c>
      <c r="U15" s="177" t="s">
        <v>553</v>
      </c>
      <c r="V15" s="177" t="s">
        <v>554</v>
      </c>
      <c r="W15" s="176" t="s">
        <v>539</v>
      </c>
      <c r="X15" s="178" t="s">
        <v>540</v>
      </c>
    </row>
    <row r="16" spans="1:24" ht="15">
      <c r="A16" s="432" t="s">
        <v>64</v>
      </c>
      <c r="B16" t="s">
        <v>36</v>
      </c>
      <c r="C16" t="s">
        <v>1118</v>
      </c>
      <c r="U16" s="177"/>
      <c r="V16" s="177"/>
      <c r="W16" s="176"/>
      <c r="X16" s="178"/>
    </row>
    <row r="17" spans="1:24" ht="15">
      <c r="A17" s="433" t="s">
        <v>65</v>
      </c>
      <c r="B17" t="s">
        <v>36</v>
      </c>
      <c r="C17" t="s">
        <v>65</v>
      </c>
      <c r="U17" s="177" t="s">
        <v>553</v>
      </c>
      <c r="V17" s="177" t="s">
        <v>555</v>
      </c>
      <c r="W17" s="176" t="s">
        <v>539</v>
      </c>
      <c r="X17" s="178" t="s">
        <v>542</v>
      </c>
    </row>
    <row r="18" spans="21:24" ht="15">
      <c r="U18" s="177" t="s">
        <v>556</v>
      </c>
      <c r="V18" s="177" t="s">
        <v>358</v>
      </c>
      <c r="W18" s="176" t="s">
        <v>539</v>
      </c>
      <c r="X18" s="178" t="s">
        <v>540</v>
      </c>
    </row>
    <row r="19" spans="1:24" ht="15">
      <c r="A19" t="s">
        <v>335</v>
      </c>
      <c r="U19" s="177" t="s">
        <v>556</v>
      </c>
      <c r="V19" s="177" t="s">
        <v>557</v>
      </c>
      <c r="W19" s="176" t="s">
        <v>539</v>
      </c>
      <c r="X19" s="178" t="s">
        <v>542</v>
      </c>
    </row>
    <row r="20" spans="1:24" ht="15">
      <c r="A20" s="301" t="s">
        <v>8</v>
      </c>
      <c r="B20">
        <v>0</v>
      </c>
      <c r="U20" s="177" t="s">
        <v>558</v>
      </c>
      <c r="V20" s="177" t="s">
        <v>559</v>
      </c>
      <c r="W20" s="176" t="s">
        <v>361</v>
      </c>
      <c r="X20" s="178" t="s">
        <v>545</v>
      </c>
    </row>
    <row r="21" spans="1:24" ht="15">
      <c r="A21" s="211" t="s">
        <v>217</v>
      </c>
      <c r="B21">
        <v>2</v>
      </c>
      <c r="U21" s="177" t="s">
        <v>558</v>
      </c>
      <c r="V21" s="177" t="s">
        <v>560</v>
      </c>
      <c r="W21" s="176" t="s">
        <v>539</v>
      </c>
      <c r="X21" s="178" t="s">
        <v>540</v>
      </c>
    </row>
    <row r="22" spans="1:24" ht="15">
      <c r="A22" s="211" t="s">
        <v>760</v>
      </c>
      <c r="B22">
        <v>5</v>
      </c>
      <c r="U22" s="177" t="s">
        <v>558</v>
      </c>
      <c r="V22" s="177" t="s">
        <v>561</v>
      </c>
      <c r="W22" s="176" t="s">
        <v>539</v>
      </c>
      <c r="X22" s="178" t="s">
        <v>540</v>
      </c>
    </row>
    <row r="23" spans="1:24" ht="15">
      <c r="A23" s="211" t="s">
        <v>761</v>
      </c>
      <c r="B23">
        <v>3</v>
      </c>
      <c r="U23" s="310"/>
      <c r="V23" s="177"/>
      <c r="W23" s="176"/>
      <c r="X23" s="178"/>
    </row>
    <row r="24" spans="1:24" ht="15">
      <c r="A24" s="211" t="s">
        <v>219</v>
      </c>
      <c r="B24">
        <v>4</v>
      </c>
      <c r="U24" s="310"/>
      <c r="V24" s="177"/>
      <c r="W24" s="176"/>
      <c r="X24" s="178"/>
    </row>
    <row r="25" spans="1:24" ht="15">
      <c r="A25" s="211" t="s">
        <v>762</v>
      </c>
      <c r="B25">
        <v>7</v>
      </c>
      <c r="U25" s="178" t="s">
        <v>558</v>
      </c>
      <c r="V25" s="177" t="s">
        <v>562</v>
      </c>
      <c r="W25" s="176" t="s">
        <v>539</v>
      </c>
      <c r="X25" s="178" t="s">
        <v>542</v>
      </c>
    </row>
    <row r="26" spans="1:24" ht="15">
      <c r="A26" s="334" t="s">
        <v>754</v>
      </c>
      <c r="B26" s="124">
        <v>10</v>
      </c>
      <c r="U26" s="177" t="s">
        <v>558</v>
      </c>
      <c r="V26" s="177" t="s">
        <v>563</v>
      </c>
      <c r="W26" s="176" t="s">
        <v>360</v>
      </c>
      <c r="X26" s="178" t="s">
        <v>545</v>
      </c>
    </row>
    <row r="28" ht="15">
      <c r="A28" t="s">
        <v>582</v>
      </c>
    </row>
    <row r="29" spans="1:11" ht="15">
      <c r="A29" s="194" t="s">
        <v>334</v>
      </c>
      <c r="B29" s="195" t="s">
        <v>569</v>
      </c>
      <c r="C29" s="142" t="s">
        <v>22</v>
      </c>
      <c r="D29" s="142" t="s">
        <v>23</v>
      </c>
      <c r="E29" s="142" t="s">
        <v>345</v>
      </c>
      <c r="F29" s="142" t="s">
        <v>515</v>
      </c>
      <c r="G29" s="142" t="s">
        <v>570</v>
      </c>
      <c r="H29" s="142" t="s">
        <v>106</v>
      </c>
      <c r="I29" s="142" t="s">
        <v>571</v>
      </c>
      <c r="J29" s="142" t="s">
        <v>519</v>
      </c>
      <c r="K29" s="204" t="s">
        <v>572</v>
      </c>
    </row>
    <row r="30" spans="1:11" ht="15">
      <c r="A30" s="197" t="str">
        <f aca="true" t="shared" si="1" ref="A30:A35">DQ$2</f>
        <v>1158190</v>
      </c>
      <c r="B30" s="57" t="e">
        <f>'1. Demande'!C76</f>
        <v>#N/A</v>
      </c>
      <c r="C30" s="57">
        <f>'1. Demande'!D76</f>
      </c>
      <c r="D30" s="205">
        <f>'1. Demande'!J76</f>
      </c>
      <c r="E30" s="57">
        <f>'1. Demande'!N76</f>
        <v>0</v>
      </c>
      <c r="F30" s="57">
        <f>'1. Demande'!R76</f>
        <v>0</v>
      </c>
      <c r="G30" s="198">
        <f>'1. Demande'!V76</f>
        <v>0</v>
      </c>
      <c r="H30" s="206">
        <f>'1. Demande'!AA76</f>
        <v>0</v>
      </c>
      <c r="I30" s="206">
        <f>'1. Demande'!AE76</f>
        <v>0</v>
      </c>
      <c r="J30" s="198">
        <f>'1. Demande'!AJ76</f>
        <v>0</v>
      </c>
      <c r="K30" s="199">
        <f>'1. Demande'!AN76</f>
        <v>0</v>
      </c>
    </row>
    <row r="31" spans="1:11" ht="15">
      <c r="A31" s="197" t="str">
        <f t="shared" si="1"/>
        <v>1158190</v>
      </c>
      <c r="B31" s="57" t="e">
        <f>'1. Demande'!C77</f>
        <v>#N/A</v>
      </c>
      <c r="C31" s="57">
        <f>'1. Demande'!D77</f>
      </c>
      <c r="D31" s="205">
        <f>'1. Demande'!J77</f>
      </c>
      <c r="E31" s="57">
        <f>'1. Demande'!N77</f>
        <v>0</v>
      </c>
      <c r="F31" s="57">
        <f>'1. Demande'!R77</f>
        <v>0</v>
      </c>
      <c r="G31" s="198">
        <f>'1. Demande'!V77</f>
        <v>0</v>
      </c>
      <c r="H31" s="206">
        <f>'1. Demande'!AA77</f>
        <v>0</v>
      </c>
      <c r="I31" s="206">
        <f>'1. Demande'!AE77</f>
        <v>0</v>
      </c>
      <c r="J31" s="198">
        <f>'1. Demande'!AJ77</f>
        <v>0</v>
      </c>
      <c r="K31" s="199">
        <f>'1. Demande'!AN77</f>
        <v>0</v>
      </c>
    </row>
    <row r="32" spans="1:11" ht="15">
      <c r="A32" s="197" t="str">
        <f t="shared" si="1"/>
        <v>1158190</v>
      </c>
      <c r="B32" s="57" t="e">
        <f>'1. Demande'!C78</f>
        <v>#N/A</v>
      </c>
      <c r="C32" s="57">
        <f>'1. Demande'!D78</f>
      </c>
      <c r="D32" s="205">
        <f>'1. Demande'!J78</f>
      </c>
      <c r="E32" s="57">
        <f>'1. Demande'!N78</f>
        <v>0</v>
      </c>
      <c r="F32" s="57">
        <f>'1. Demande'!R78</f>
        <v>0</v>
      </c>
      <c r="G32" s="198">
        <f>'1. Demande'!V78</f>
        <v>0</v>
      </c>
      <c r="H32" s="206">
        <f>'1. Demande'!AA78</f>
        <v>0</v>
      </c>
      <c r="I32" s="206">
        <f>'1. Demande'!AE78</f>
        <v>0</v>
      </c>
      <c r="J32" s="198">
        <f>'1. Demande'!AJ78</f>
        <v>0</v>
      </c>
      <c r="K32" s="199">
        <f>'1. Demande'!AN78</f>
        <v>0</v>
      </c>
    </row>
    <row r="33" spans="1:11" ht="15">
      <c r="A33" s="197" t="str">
        <f t="shared" si="1"/>
        <v>1158190</v>
      </c>
      <c r="B33" s="57" t="e">
        <f>'1. Demande'!C79</f>
        <v>#N/A</v>
      </c>
      <c r="C33" s="57">
        <f>'1. Demande'!D79</f>
      </c>
      <c r="D33" s="205">
        <f>'1. Demande'!J79</f>
      </c>
      <c r="E33" s="57">
        <f>'1. Demande'!N79</f>
        <v>0</v>
      </c>
      <c r="F33" s="57">
        <f>'1. Demande'!R79</f>
        <v>0</v>
      </c>
      <c r="G33" s="198">
        <f>'1. Demande'!V79</f>
        <v>0</v>
      </c>
      <c r="H33" s="206">
        <f>'1. Demande'!AA79</f>
        <v>0</v>
      </c>
      <c r="I33" s="206">
        <f>'1. Demande'!AE79</f>
        <v>0</v>
      </c>
      <c r="J33" s="198">
        <f>'1. Demande'!AJ79</f>
        <v>0</v>
      </c>
      <c r="K33" s="199">
        <f>'1. Demande'!AN79</f>
        <v>0</v>
      </c>
    </row>
    <row r="34" spans="1:11" ht="15">
      <c r="A34" s="197" t="str">
        <f t="shared" si="1"/>
        <v>1158190</v>
      </c>
      <c r="B34" s="57" t="e">
        <f>'1. Demande'!C80</f>
        <v>#N/A</v>
      </c>
      <c r="C34" s="57">
        <f>'1. Demande'!D80</f>
        <v>0</v>
      </c>
      <c r="D34" s="205">
        <f>'1. Demande'!J80</f>
      </c>
      <c r="E34" s="57">
        <f>'1. Demande'!N80</f>
        <v>0</v>
      </c>
      <c r="F34" s="57">
        <f>'1. Demande'!R80</f>
        <v>0</v>
      </c>
      <c r="G34" s="198">
        <f>'1. Demande'!V80</f>
        <v>0</v>
      </c>
      <c r="H34" s="206">
        <f>'1. Demande'!AA80</f>
        <v>0</v>
      </c>
      <c r="I34" s="206">
        <f>'1. Demande'!AE80</f>
        <v>0</v>
      </c>
      <c r="J34" s="198">
        <f>'1. Demande'!AJ80</f>
        <v>0</v>
      </c>
      <c r="K34" s="199">
        <f>'1. Demande'!AN80</f>
        <v>0</v>
      </c>
    </row>
    <row r="35" spans="1:11" ht="15">
      <c r="A35" s="200" t="str">
        <f t="shared" si="1"/>
        <v>1158190</v>
      </c>
      <c r="B35" s="201" t="e">
        <f>'1. Demande'!C81</f>
        <v>#N/A</v>
      </c>
      <c r="C35" s="201">
        <f>'1. Demande'!D81</f>
        <v>0</v>
      </c>
      <c r="D35" s="207">
        <f>'1. Demande'!J81</f>
      </c>
      <c r="E35" s="201">
        <f>'1. Demande'!N81</f>
        <v>0</v>
      </c>
      <c r="F35" s="201">
        <f>'1. Demande'!R81</f>
        <v>0</v>
      </c>
      <c r="G35" s="202">
        <f>'1. Demande'!V81</f>
        <v>0</v>
      </c>
      <c r="H35" s="208">
        <f>'1. Demande'!AA81</f>
        <v>0</v>
      </c>
      <c r="I35" s="208">
        <f>'1. Demande'!AE81</f>
        <v>0</v>
      </c>
      <c r="J35" s="202">
        <f>'1. Demande'!AJ81</f>
        <v>0</v>
      </c>
      <c r="K35" s="209">
        <f>'1. Demande'!AN81</f>
        <v>0</v>
      </c>
    </row>
    <row r="37" ht="15">
      <c r="A37" t="s">
        <v>573</v>
      </c>
    </row>
    <row r="38" spans="1:7" ht="15">
      <c r="A38" s="194" t="s">
        <v>334</v>
      </c>
      <c r="B38" s="195" t="s">
        <v>575</v>
      </c>
      <c r="C38" s="195" t="s">
        <v>576</v>
      </c>
      <c r="D38" s="195" t="s">
        <v>577</v>
      </c>
      <c r="E38" s="195" t="s">
        <v>578</v>
      </c>
      <c r="F38" s="195" t="s">
        <v>579</v>
      </c>
      <c r="G38" s="196" t="s">
        <v>580</v>
      </c>
    </row>
    <row r="39" spans="1:7" ht="15">
      <c r="A39" s="197" t="str">
        <f aca="true" t="shared" si="2" ref="A39:A44">DQ$2</f>
        <v>1158190</v>
      </c>
      <c r="B39" s="218">
        <f>'1. Demande'!C121</f>
        <v>1</v>
      </c>
      <c r="C39" s="218" t="str">
        <f>'1. Demande'!D121</f>
        <v>MERN (smTE)</v>
      </c>
      <c r="D39" s="218" t="str">
        <f>IF('1. Demande'!H121="","",'1. Demande'!H121)</f>
        <v>MERN sous-ministériat à la Transition énergétique</v>
      </c>
      <c r="E39" s="218" t="str">
        <f>IF('1. Demande'!V121="","",'1. Demande'!V121)</f>
        <v>Subvention</v>
      </c>
      <c r="F39" s="219">
        <f>'1. Demande'!AE121</f>
        <v>0</v>
      </c>
      <c r="G39" s="220">
        <f>'1. Demande'!AO121</f>
        <v>0</v>
      </c>
    </row>
    <row r="40" spans="1:7" ht="15">
      <c r="A40" s="197" t="str">
        <f t="shared" si="2"/>
        <v>1158190</v>
      </c>
      <c r="B40" s="218">
        <f>'1. Demande'!C122</f>
        <v>16</v>
      </c>
      <c r="C40" s="218" t="str">
        <f>'1. Demande'!D122</f>
        <v>Requérant</v>
      </c>
      <c r="D40" s="218">
        <f>IF('1. Demande'!H122="","",'1. Demande'!H122)</f>
      </c>
      <c r="E40" s="218" t="str">
        <f>IF('1. Demande'!V122="","",'1. Demande'!V122)</f>
        <v>Équité</v>
      </c>
      <c r="F40" s="219">
        <f>'1. Demande'!AE122</f>
        <v>0</v>
      </c>
      <c r="G40" s="220">
        <f>'1. Demande'!AO122</f>
        <v>0</v>
      </c>
    </row>
    <row r="41" spans="1:7" ht="15">
      <c r="A41" s="197" t="str">
        <f t="shared" si="2"/>
        <v>1158190</v>
      </c>
      <c r="B41" s="218">
        <f>'1. Demande'!C123</f>
      </c>
      <c r="C41" s="218" t="str">
        <f>'1. Demande'!D123</f>
        <v>Choisir…</v>
      </c>
      <c r="D41" s="218">
        <f>IF('1. Demande'!H123="","",'1. Demande'!H123)</f>
      </c>
      <c r="E41" s="218" t="str">
        <f>IF('1. Demande'!V123="","",'1. Demande'!V123)</f>
        <v>Choisir…</v>
      </c>
      <c r="F41" s="219">
        <f>'1. Demande'!AE123</f>
        <v>0</v>
      </c>
      <c r="G41" s="220">
        <f>'1. Demande'!AO123</f>
        <v>0</v>
      </c>
    </row>
    <row r="42" spans="1:7" ht="15">
      <c r="A42" s="197" t="str">
        <f t="shared" si="2"/>
        <v>1158190</v>
      </c>
      <c r="B42" s="218">
        <f>'1. Demande'!C124</f>
      </c>
      <c r="C42" s="218" t="str">
        <f>'1. Demande'!D124</f>
        <v>Choisir…</v>
      </c>
      <c r="D42" s="218">
        <f>IF('1. Demande'!H124="","",'1. Demande'!H124)</f>
      </c>
      <c r="E42" s="218" t="str">
        <f>IF('1. Demande'!V124="","",'1. Demande'!V124)</f>
        <v>Choisir…</v>
      </c>
      <c r="F42" s="219">
        <f>'1. Demande'!AE124</f>
        <v>0</v>
      </c>
      <c r="G42" s="220">
        <f>'1. Demande'!AO124</f>
        <v>0</v>
      </c>
    </row>
    <row r="43" spans="1:7" ht="15">
      <c r="A43" s="197" t="str">
        <f t="shared" si="2"/>
        <v>1158190</v>
      </c>
      <c r="B43" s="218"/>
      <c r="C43" s="218"/>
      <c r="D43" s="218"/>
      <c r="E43" s="218"/>
      <c r="F43" s="219"/>
      <c r="G43" s="221"/>
    </row>
    <row r="44" spans="1:7" ht="15">
      <c r="A44" s="197" t="str">
        <f t="shared" si="2"/>
        <v>1158190</v>
      </c>
      <c r="B44" s="218"/>
      <c r="C44" s="218"/>
      <c r="D44" s="218"/>
      <c r="E44" s="218"/>
      <c r="F44" s="219"/>
      <c r="G44" s="221"/>
    </row>
    <row r="45" spans="1:7" ht="15">
      <c r="A45" s="200"/>
      <c r="B45" s="201"/>
      <c r="C45" s="201"/>
      <c r="D45" s="201"/>
      <c r="E45" s="201"/>
      <c r="F45" s="202"/>
      <c r="G45" s="203"/>
    </row>
    <row r="47" ht="15">
      <c r="A47" t="s">
        <v>590</v>
      </c>
    </row>
    <row r="48" spans="1:8" ht="15">
      <c r="A48" s="194" t="s">
        <v>334</v>
      </c>
      <c r="B48" s="195" t="s">
        <v>583</v>
      </c>
      <c r="C48" s="195" t="s">
        <v>584</v>
      </c>
      <c r="D48" s="195" t="s">
        <v>585</v>
      </c>
      <c r="E48" s="195" t="s">
        <v>586</v>
      </c>
      <c r="F48" s="195" t="s">
        <v>587</v>
      </c>
      <c r="G48" s="195" t="s">
        <v>588</v>
      </c>
      <c r="H48" s="196" t="s">
        <v>589</v>
      </c>
    </row>
    <row r="49" spans="1:8" ht="15">
      <c r="A49" s="197" t="str">
        <f aca="true" t="shared" si="3" ref="A49:A54">DQ$2</f>
        <v>1158190</v>
      </c>
      <c r="B49" s="57" t="str">
        <f>'1. Demande'!D110</f>
        <v>A. Acquisition équipement/matériel</v>
      </c>
      <c r="C49" s="57">
        <f>'1. Demande'!R110</f>
        <v>0</v>
      </c>
      <c r="D49" s="57">
        <f>'1. Demande'!V110</f>
        <v>0</v>
      </c>
      <c r="E49" s="198">
        <f aca="true" t="shared" si="4" ref="E49:E54">D49+C49</f>
        <v>0</v>
      </c>
      <c r="F49" s="57">
        <f>'1. Demande'!AE110</f>
        <v>0</v>
      </c>
      <c r="G49" s="57">
        <f>'1. Demande'!AJ110</f>
        <v>0</v>
      </c>
      <c r="H49" s="213">
        <f aca="true" t="shared" si="5" ref="H49:H54">G49+F49</f>
        <v>0</v>
      </c>
    </row>
    <row r="50" spans="1:8" ht="15">
      <c r="A50" s="197" t="str">
        <f t="shared" si="3"/>
        <v>1158190</v>
      </c>
      <c r="B50" s="57" t="str">
        <f>'1. Demande'!D111</f>
        <v>B. Acquisition de l'équipement de mesurage</v>
      </c>
      <c r="C50" s="57">
        <f>'1. Demande'!R111</f>
        <v>0</v>
      </c>
      <c r="D50" s="57">
        <f>'1. Demande'!V111</f>
        <v>0</v>
      </c>
      <c r="E50" s="198">
        <f t="shared" si="4"/>
        <v>0</v>
      </c>
      <c r="F50" s="57">
        <f>'1. Demande'!AE111</f>
        <v>0</v>
      </c>
      <c r="G50" s="57">
        <f>'1. Demande'!AJ111</f>
        <v>0</v>
      </c>
      <c r="H50" s="213">
        <f t="shared" si="5"/>
        <v>0</v>
      </c>
    </row>
    <row r="51" spans="1:8" ht="15">
      <c r="A51" s="197" t="str">
        <f t="shared" si="3"/>
        <v>1158190</v>
      </c>
      <c r="B51" s="57" t="str">
        <f>'1. Demande'!D112</f>
        <v>C. Mesurage, quantification et vérification</v>
      </c>
      <c r="C51" s="57">
        <f>'1. Demande'!R112</f>
        <v>0</v>
      </c>
      <c r="D51" s="57">
        <f>'1. Demande'!V112</f>
        <v>0</v>
      </c>
      <c r="E51" s="198">
        <f t="shared" si="4"/>
        <v>0</v>
      </c>
      <c r="F51" s="57">
        <f>'1. Demande'!AE112</f>
        <v>0</v>
      </c>
      <c r="G51" s="57">
        <f>'1. Demande'!AJ112</f>
        <v>0</v>
      </c>
      <c r="H51" s="213">
        <f t="shared" si="5"/>
        <v>0</v>
      </c>
    </row>
    <row r="52" spans="1:8" ht="15">
      <c r="A52" s="197" t="str">
        <f t="shared" si="3"/>
        <v>1158190</v>
      </c>
      <c r="B52" s="57" t="str">
        <f>'1. Demande'!D113</f>
        <v>D. Ingénierie ou services professionnels</v>
      </c>
      <c r="C52" s="57">
        <f>'1. Demande'!R113</f>
        <v>0</v>
      </c>
      <c r="D52" s="57">
        <f>'1. Demande'!V113</f>
        <v>0</v>
      </c>
      <c r="E52" s="198">
        <f t="shared" si="4"/>
        <v>0</v>
      </c>
      <c r="F52" s="57">
        <f>'1. Demande'!AE113</f>
        <v>0</v>
      </c>
      <c r="G52" s="57">
        <f>'1. Demande'!AJ113</f>
        <v>0</v>
      </c>
      <c r="H52" s="213">
        <f t="shared" si="5"/>
        <v>0</v>
      </c>
    </row>
    <row r="53" spans="1:8" ht="15">
      <c r="A53" s="197" t="str">
        <f t="shared" si="3"/>
        <v>1158190</v>
      </c>
      <c r="B53" s="57" t="str">
        <f>'1. Demande'!D114</f>
        <v>E. Installation et mise en fonction</v>
      </c>
      <c r="C53" s="57">
        <f>'1. Demande'!R114</f>
        <v>0</v>
      </c>
      <c r="D53" s="57">
        <f>'1. Demande'!V114</f>
        <v>0</v>
      </c>
      <c r="E53" s="198">
        <f t="shared" si="4"/>
        <v>0</v>
      </c>
      <c r="F53" s="57">
        <f>'1. Demande'!AE114</f>
        <v>0</v>
      </c>
      <c r="G53" s="57">
        <f>'1. Demande'!AJ114</f>
        <v>0</v>
      </c>
      <c r="H53" s="213">
        <f t="shared" si="5"/>
        <v>0</v>
      </c>
    </row>
    <row r="54" spans="1:8" ht="15">
      <c r="A54" s="200" t="str">
        <f t="shared" si="3"/>
        <v>1158190</v>
      </c>
      <c r="B54" s="201" t="str">
        <f>'1. Demande'!D115</f>
        <v>F. Contingences</v>
      </c>
      <c r="C54" s="201">
        <f>'1. Demande'!R115</f>
        <v>0</v>
      </c>
      <c r="D54" s="201">
        <f>'1. Demande'!V115</f>
        <v>0</v>
      </c>
      <c r="E54" s="202">
        <f t="shared" si="4"/>
        <v>0</v>
      </c>
      <c r="F54" s="201">
        <f>'1. Demande'!AE115</f>
        <v>0</v>
      </c>
      <c r="G54" s="201">
        <f>'1. Demande'!AJ115</f>
        <v>0</v>
      </c>
      <c r="H54" s="214">
        <f t="shared" si="5"/>
        <v>0</v>
      </c>
    </row>
    <row r="55" spans="1:8" ht="15">
      <c r="A55" s="57"/>
      <c r="B55" s="57"/>
      <c r="C55" s="57"/>
      <c r="D55" s="57"/>
      <c r="E55" s="198"/>
      <c r="F55" s="57"/>
      <c r="G55" s="57"/>
      <c r="H55" s="198"/>
    </row>
    <row r="56" spans="1:8" ht="15">
      <c r="A56" s="57" t="s">
        <v>754</v>
      </c>
      <c r="B56" s="57"/>
      <c r="C56" t="s">
        <v>1013</v>
      </c>
      <c r="D56" s="57" t="s">
        <v>1123</v>
      </c>
      <c r="E56" s="198"/>
      <c r="F56" s="57"/>
      <c r="G56" s="57"/>
      <c r="H56" s="198"/>
    </row>
    <row r="57" spans="1:8" ht="15">
      <c r="A57" s="301" t="s">
        <v>8</v>
      </c>
      <c r="B57" s="57"/>
      <c r="D57" s="57"/>
      <c r="E57" s="198"/>
      <c r="F57" s="57"/>
      <c r="G57" s="57"/>
      <c r="H57" s="198"/>
    </row>
    <row r="58" spans="1:8" ht="15">
      <c r="A58" s="211" t="s">
        <v>751</v>
      </c>
      <c r="B58" s="308" t="s">
        <v>755</v>
      </c>
      <c r="C58" s="335">
        <v>25000</v>
      </c>
      <c r="D58" s="301">
        <v>0.5</v>
      </c>
      <c r="E58" s="198"/>
      <c r="F58" s="57"/>
      <c r="G58" s="57"/>
      <c r="H58" s="198"/>
    </row>
    <row r="59" spans="1:4" ht="15">
      <c r="A59" s="212" t="s">
        <v>752</v>
      </c>
      <c r="B59" s="124" t="s">
        <v>485</v>
      </c>
      <c r="C59" s="212">
        <v>250000</v>
      </c>
      <c r="D59" s="212">
        <v>0.75</v>
      </c>
    </row>
    <row r="61" spans="1:2" ht="15">
      <c r="A61" t="s">
        <v>647</v>
      </c>
      <c r="B61" t="s">
        <v>648</v>
      </c>
    </row>
    <row r="62" spans="1:7" ht="15">
      <c r="A62" s="222" t="s">
        <v>591</v>
      </c>
      <c r="B62" s="229" t="s">
        <v>8</v>
      </c>
      <c r="C62" s="224" t="s">
        <v>592</v>
      </c>
      <c r="D62" s="215"/>
      <c r="E62" s="215" t="s">
        <v>593</v>
      </c>
      <c r="F62" s="215" t="s">
        <v>594</v>
      </c>
      <c r="G62" s="215" t="s">
        <v>595</v>
      </c>
    </row>
    <row r="63" spans="1:7" ht="15">
      <c r="A63" s="223">
        <v>1</v>
      </c>
      <c r="B63" s="226" t="s">
        <v>596</v>
      </c>
      <c r="C63" s="225">
        <v>1</v>
      </c>
      <c r="D63" s="217" t="s">
        <v>597</v>
      </c>
      <c r="E63" s="216" t="b">
        <v>1</v>
      </c>
      <c r="F63" s="216" t="b">
        <v>1</v>
      </c>
      <c r="G63" s="216" t="b">
        <v>1</v>
      </c>
    </row>
    <row r="64" spans="1:7" ht="15">
      <c r="A64" s="223">
        <v>2</v>
      </c>
      <c r="B64" s="227" t="s">
        <v>110</v>
      </c>
      <c r="C64" s="225">
        <v>2</v>
      </c>
      <c r="D64" s="217" t="s">
        <v>110</v>
      </c>
      <c r="E64" s="216" t="b">
        <v>1</v>
      </c>
      <c r="F64" s="216" t="b">
        <v>1</v>
      </c>
      <c r="G64" s="216" t="b">
        <v>0</v>
      </c>
    </row>
    <row r="65" spans="1:7" ht="15">
      <c r="A65" s="223">
        <v>3</v>
      </c>
      <c r="B65" s="227" t="s">
        <v>131</v>
      </c>
      <c r="C65" s="225">
        <v>3</v>
      </c>
      <c r="D65" s="217" t="s">
        <v>131</v>
      </c>
      <c r="E65" s="216" t="b">
        <v>0</v>
      </c>
      <c r="F65" s="216" t="b">
        <v>1</v>
      </c>
      <c r="G65" s="216" t="b">
        <v>0</v>
      </c>
    </row>
    <row r="66" spans="1:7" ht="15">
      <c r="A66" s="223">
        <v>4</v>
      </c>
      <c r="B66" s="227" t="s">
        <v>598</v>
      </c>
      <c r="C66" s="225">
        <v>4</v>
      </c>
      <c r="D66" s="217" t="s">
        <v>599</v>
      </c>
      <c r="E66" s="216" t="b">
        <v>1</v>
      </c>
      <c r="F66" s="216" t="b">
        <v>1</v>
      </c>
      <c r="G66" s="216" t="b">
        <v>1</v>
      </c>
    </row>
    <row r="67" spans="1:7" ht="15">
      <c r="A67" s="223">
        <v>5</v>
      </c>
      <c r="B67" s="227" t="s">
        <v>600</v>
      </c>
      <c r="C67" s="225">
        <v>22</v>
      </c>
      <c r="D67" s="217" t="s">
        <v>111</v>
      </c>
      <c r="E67" s="216" t="b">
        <v>1</v>
      </c>
      <c r="F67" s="216" t="b">
        <v>1</v>
      </c>
      <c r="G67" s="216" t="b">
        <v>1</v>
      </c>
    </row>
    <row r="68" spans="1:7" ht="15">
      <c r="A68" s="223">
        <v>6</v>
      </c>
      <c r="B68" s="227" t="s">
        <v>112</v>
      </c>
      <c r="C68" s="225">
        <v>8</v>
      </c>
      <c r="D68" s="217" t="s">
        <v>112</v>
      </c>
      <c r="E68" s="216" t="b">
        <v>0</v>
      </c>
      <c r="F68" s="216" t="b">
        <v>1</v>
      </c>
      <c r="G68" s="216" t="b">
        <v>1</v>
      </c>
    </row>
    <row r="69" spans="1:7" ht="15">
      <c r="A69" s="223">
        <v>7</v>
      </c>
      <c r="B69" s="227" t="s">
        <v>113</v>
      </c>
      <c r="C69" s="225">
        <v>33</v>
      </c>
      <c r="D69" s="217" t="s">
        <v>601</v>
      </c>
      <c r="E69" s="216" t="b">
        <v>1</v>
      </c>
      <c r="F69" s="216" t="b">
        <v>1</v>
      </c>
      <c r="G69" s="216" t="b">
        <v>1</v>
      </c>
    </row>
    <row r="70" spans="1:7" ht="15">
      <c r="A70" s="223">
        <v>8</v>
      </c>
      <c r="B70" s="227" t="s">
        <v>114</v>
      </c>
      <c r="C70" s="225">
        <v>9</v>
      </c>
      <c r="D70" s="217" t="s">
        <v>602</v>
      </c>
      <c r="E70" s="216" t="b">
        <v>1</v>
      </c>
      <c r="F70" s="216" t="b">
        <v>1</v>
      </c>
      <c r="G70" s="216" t="b">
        <v>1</v>
      </c>
    </row>
    <row r="71" spans="1:7" ht="15">
      <c r="A71" s="223">
        <v>9</v>
      </c>
      <c r="B71" s="227" t="s">
        <v>603</v>
      </c>
      <c r="C71" s="225">
        <v>11</v>
      </c>
      <c r="D71" s="217" t="s">
        <v>604</v>
      </c>
      <c r="E71" s="216" t="b">
        <v>1</v>
      </c>
      <c r="F71" s="216" t="b">
        <v>1</v>
      </c>
      <c r="G71" s="216" t="b">
        <v>1</v>
      </c>
    </row>
    <row r="72" spans="1:7" ht="15">
      <c r="A72" s="223">
        <v>10</v>
      </c>
      <c r="B72" s="227" t="s">
        <v>115</v>
      </c>
      <c r="C72" s="225">
        <v>23</v>
      </c>
      <c r="D72" s="217" t="s">
        <v>605</v>
      </c>
      <c r="E72" s="216" t="b">
        <v>1</v>
      </c>
      <c r="F72" s="216" t="b">
        <v>1</v>
      </c>
      <c r="G72" s="216" t="b">
        <v>1</v>
      </c>
    </row>
    <row r="73" spans="1:7" ht="15">
      <c r="A73" s="223">
        <v>11</v>
      </c>
      <c r="B73" s="227" t="s">
        <v>606</v>
      </c>
      <c r="C73" s="225">
        <v>25</v>
      </c>
      <c r="D73" s="217" t="s">
        <v>607</v>
      </c>
      <c r="E73" s="216" t="b">
        <v>1</v>
      </c>
      <c r="F73" s="216" t="b">
        <v>1</v>
      </c>
      <c r="G73" s="216" t="b">
        <v>1</v>
      </c>
    </row>
    <row r="74" spans="1:7" ht="15">
      <c r="A74" s="223">
        <v>12</v>
      </c>
      <c r="B74" s="227" t="s">
        <v>137</v>
      </c>
      <c r="C74" s="225">
        <v>28</v>
      </c>
      <c r="D74" s="217" t="s">
        <v>608</v>
      </c>
      <c r="E74" s="216" t="b">
        <v>1</v>
      </c>
      <c r="F74" s="216" t="b">
        <v>1</v>
      </c>
      <c r="G74" s="216" t="b">
        <v>1</v>
      </c>
    </row>
    <row r="75" spans="1:7" ht="15">
      <c r="A75" s="223">
        <v>13</v>
      </c>
      <c r="B75" s="227" t="s">
        <v>116</v>
      </c>
      <c r="C75" s="225">
        <v>29</v>
      </c>
      <c r="D75" s="217" t="s">
        <v>609</v>
      </c>
      <c r="E75" s="216" t="b">
        <v>1</v>
      </c>
      <c r="F75" s="216" t="b">
        <v>1</v>
      </c>
      <c r="G75" s="216" t="b">
        <v>1</v>
      </c>
    </row>
    <row r="76" spans="1:7" ht="15">
      <c r="A76" s="223">
        <v>14</v>
      </c>
      <c r="B76" s="227" t="s">
        <v>610</v>
      </c>
      <c r="C76" s="225">
        <v>30</v>
      </c>
      <c r="D76" s="217" t="s">
        <v>611</v>
      </c>
      <c r="E76" s="216" t="b">
        <v>1</v>
      </c>
      <c r="F76" s="216" t="b">
        <v>1</v>
      </c>
      <c r="G76" s="216" t="b">
        <v>1</v>
      </c>
    </row>
    <row r="77" spans="1:7" ht="15">
      <c r="A77" s="223">
        <v>15</v>
      </c>
      <c r="B77" s="227" t="s">
        <v>612</v>
      </c>
      <c r="C77" s="225">
        <v>7</v>
      </c>
      <c r="D77" s="217" t="s">
        <v>612</v>
      </c>
      <c r="E77" s="216" t="b">
        <v>1</v>
      </c>
      <c r="F77" s="216" t="b">
        <v>1</v>
      </c>
      <c r="G77" s="216" t="b">
        <v>1</v>
      </c>
    </row>
    <row r="78" spans="1:7" ht="15">
      <c r="A78" s="223">
        <v>16</v>
      </c>
      <c r="B78" s="227" t="s">
        <v>581</v>
      </c>
      <c r="C78" s="225">
        <v>0</v>
      </c>
      <c r="D78" s="217" t="s">
        <v>581</v>
      </c>
      <c r="E78" s="216" t="b">
        <v>0</v>
      </c>
      <c r="F78" s="216" t="b">
        <v>1</v>
      </c>
      <c r="G78" s="216" t="b">
        <v>1</v>
      </c>
    </row>
    <row r="79" spans="1:7" ht="15">
      <c r="A79" s="223">
        <v>17</v>
      </c>
      <c r="B79" s="227" t="s">
        <v>613</v>
      </c>
      <c r="C79" s="225">
        <v>6</v>
      </c>
      <c r="D79" s="217" t="s">
        <v>613</v>
      </c>
      <c r="E79" s="216" t="b">
        <v>0</v>
      </c>
      <c r="F79" s="216" t="b">
        <v>1</v>
      </c>
      <c r="G79" s="216" t="b">
        <v>1</v>
      </c>
    </row>
    <row r="80" spans="1:7" ht="15">
      <c r="A80" s="223">
        <v>18</v>
      </c>
      <c r="B80" s="227" t="s">
        <v>614</v>
      </c>
      <c r="C80" s="225">
        <v>32</v>
      </c>
      <c r="D80" s="217" t="s">
        <v>615</v>
      </c>
      <c r="E80" s="216" t="b">
        <v>1</v>
      </c>
      <c r="F80" s="216" t="b">
        <v>1</v>
      </c>
      <c r="G80" s="216" t="b">
        <v>1</v>
      </c>
    </row>
    <row r="81" spans="1:7" ht="15">
      <c r="A81" s="223">
        <v>19</v>
      </c>
      <c r="B81" s="227" t="s">
        <v>616</v>
      </c>
      <c r="C81" s="225">
        <v>13</v>
      </c>
      <c r="D81" s="217" t="s">
        <v>617</v>
      </c>
      <c r="E81" s="216" t="b">
        <v>1</v>
      </c>
      <c r="F81" s="216" t="b">
        <v>1</v>
      </c>
      <c r="G81" s="216" t="b">
        <v>1</v>
      </c>
    </row>
    <row r="82" spans="1:7" ht="15">
      <c r="A82" s="223">
        <v>20</v>
      </c>
      <c r="B82" s="227" t="s">
        <v>618</v>
      </c>
      <c r="C82" s="225">
        <v>15</v>
      </c>
      <c r="D82" s="217" t="s">
        <v>619</v>
      </c>
      <c r="E82" s="216" t="b">
        <v>1</v>
      </c>
      <c r="F82" s="216" t="b">
        <v>1</v>
      </c>
      <c r="G82" s="216" t="b">
        <v>1</v>
      </c>
    </row>
    <row r="83" spans="1:7" ht="15">
      <c r="A83" s="223">
        <v>21</v>
      </c>
      <c r="B83" s="227" t="s">
        <v>620</v>
      </c>
      <c r="C83" s="225">
        <v>17</v>
      </c>
      <c r="D83" s="217" t="s">
        <v>621</v>
      </c>
      <c r="E83" s="216" t="b">
        <v>1</v>
      </c>
      <c r="F83" s="216" t="b">
        <v>1</v>
      </c>
      <c r="G83" s="216" t="b">
        <v>1</v>
      </c>
    </row>
    <row r="84" spans="1:7" ht="15">
      <c r="A84" s="223">
        <v>22</v>
      </c>
      <c r="B84" s="227" t="s">
        <v>622</v>
      </c>
      <c r="C84" s="225">
        <v>24</v>
      </c>
      <c r="D84" s="217" t="s">
        <v>623</v>
      </c>
      <c r="E84" s="216" t="b">
        <v>1</v>
      </c>
      <c r="F84" s="216" t="b">
        <v>1</v>
      </c>
      <c r="G84" s="216" t="b">
        <v>1</v>
      </c>
    </row>
    <row r="85" spans="1:7" ht="15">
      <c r="A85" s="223">
        <v>23</v>
      </c>
      <c r="B85" s="227" t="s">
        <v>624</v>
      </c>
      <c r="C85" s="225">
        <v>5</v>
      </c>
      <c r="D85" s="217" t="s">
        <v>625</v>
      </c>
      <c r="E85" s="216" t="b">
        <v>1</v>
      </c>
      <c r="F85" s="216" t="b">
        <v>1</v>
      </c>
      <c r="G85" s="216" t="b">
        <v>1</v>
      </c>
    </row>
    <row r="86" spans="1:7" ht="15">
      <c r="A86" s="223">
        <v>24</v>
      </c>
      <c r="B86" s="227" t="s">
        <v>626</v>
      </c>
      <c r="C86" s="225">
        <v>14</v>
      </c>
      <c r="D86" s="217" t="s">
        <v>626</v>
      </c>
      <c r="E86" s="216" t="b">
        <v>1</v>
      </c>
      <c r="F86" s="216" t="b">
        <v>1</v>
      </c>
      <c r="G86" s="216" t="b">
        <v>1</v>
      </c>
    </row>
    <row r="87" spans="1:7" ht="15">
      <c r="A87" s="223">
        <v>25</v>
      </c>
      <c r="B87" s="227" t="s">
        <v>627</v>
      </c>
      <c r="C87" s="225">
        <v>26</v>
      </c>
      <c r="D87" s="217" t="s">
        <v>628</v>
      </c>
      <c r="E87" s="216" t="b">
        <v>1</v>
      </c>
      <c r="F87" s="216" t="b">
        <v>1</v>
      </c>
      <c r="G87" s="216" t="b">
        <v>1</v>
      </c>
    </row>
    <row r="88" spans="1:7" ht="15">
      <c r="A88" s="223">
        <v>26</v>
      </c>
      <c r="B88" s="227" t="s">
        <v>629</v>
      </c>
      <c r="C88" s="225">
        <v>27</v>
      </c>
      <c r="D88" s="217" t="s">
        <v>630</v>
      </c>
      <c r="E88" s="216" t="b">
        <v>1</v>
      </c>
      <c r="F88" s="216" t="b">
        <v>1</v>
      </c>
      <c r="G88" s="216" t="b">
        <v>1</v>
      </c>
    </row>
    <row r="89" spans="1:7" ht="15">
      <c r="A89" s="223">
        <v>27</v>
      </c>
      <c r="B89" s="227" t="s">
        <v>631</v>
      </c>
      <c r="C89" s="225">
        <v>20</v>
      </c>
      <c r="D89" s="217" t="s">
        <v>631</v>
      </c>
      <c r="E89" s="216" t="b">
        <v>0</v>
      </c>
      <c r="F89" s="216" t="b">
        <v>1</v>
      </c>
      <c r="G89" s="216" t="b">
        <v>1</v>
      </c>
    </row>
    <row r="90" spans="1:7" ht="15">
      <c r="A90" s="223">
        <v>28</v>
      </c>
      <c r="B90" s="227" t="s">
        <v>632</v>
      </c>
      <c r="C90" s="225">
        <v>21</v>
      </c>
      <c r="D90" s="217" t="s">
        <v>633</v>
      </c>
      <c r="E90" s="216" t="b">
        <v>0</v>
      </c>
      <c r="F90" s="216" t="b">
        <v>1</v>
      </c>
      <c r="G90" s="216" t="b">
        <v>1</v>
      </c>
    </row>
    <row r="91" spans="1:7" ht="15">
      <c r="A91" s="223">
        <v>29</v>
      </c>
      <c r="B91" s="227" t="s">
        <v>634</v>
      </c>
      <c r="C91" s="225">
        <v>12</v>
      </c>
      <c r="D91" s="217" t="s">
        <v>635</v>
      </c>
      <c r="E91" s="216" t="b">
        <v>1</v>
      </c>
      <c r="F91" s="216" t="b">
        <v>1</v>
      </c>
      <c r="G91" s="216" t="b">
        <v>1</v>
      </c>
    </row>
    <row r="92" spans="1:7" ht="15">
      <c r="A92" s="223">
        <v>30</v>
      </c>
      <c r="B92" s="227" t="s">
        <v>636</v>
      </c>
      <c r="C92" s="225">
        <v>16</v>
      </c>
      <c r="D92" s="217" t="s">
        <v>637</v>
      </c>
      <c r="E92" s="216" t="b">
        <v>0</v>
      </c>
      <c r="F92" s="216" t="b">
        <v>1</v>
      </c>
      <c r="G92" s="216" t="b">
        <v>1</v>
      </c>
    </row>
    <row r="93" spans="1:7" ht="15">
      <c r="A93" s="223">
        <v>31</v>
      </c>
      <c r="B93" s="227" t="s">
        <v>638</v>
      </c>
      <c r="C93" s="225">
        <v>10</v>
      </c>
      <c r="D93" s="217" t="s">
        <v>639</v>
      </c>
      <c r="E93" s="216" t="b">
        <v>0</v>
      </c>
      <c r="F93" s="216" t="b">
        <v>1</v>
      </c>
      <c r="G93" s="216" t="b">
        <v>1</v>
      </c>
    </row>
    <row r="94" spans="1:7" ht="15">
      <c r="A94" s="223">
        <v>32</v>
      </c>
      <c r="B94" s="227" t="s">
        <v>640</v>
      </c>
      <c r="C94" s="225">
        <v>18</v>
      </c>
      <c r="D94" s="217" t="s">
        <v>641</v>
      </c>
      <c r="E94" s="216" t="b">
        <v>0</v>
      </c>
      <c r="F94" s="216" t="b">
        <v>1</v>
      </c>
      <c r="G94" s="216" t="b">
        <v>1</v>
      </c>
    </row>
    <row r="95" spans="1:7" ht="15">
      <c r="A95" s="223">
        <v>33</v>
      </c>
      <c r="B95" s="227" t="s">
        <v>642</v>
      </c>
      <c r="C95" s="225">
        <v>19</v>
      </c>
      <c r="D95" s="217" t="s">
        <v>643</v>
      </c>
      <c r="E95" s="216" t="b">
        <v>0</v>
      </c>
      <c r="F95" s="216" t="b">
        <v>1</v>
      </c>
      <c r="G95" s="216" t="b">
        <v>1</v>
      </c>
    </row>
    <row r="96" spans="1:7" ht="15">
      <c r="A96" s="223">
        <v>34</v>
      </c>
      <c r="B96" s="227" t="s">
        <v>644</v>
      </c>
      <c r="C96" s="225">
        <v>31</v>
      </c>
      <c r="D96" s="217" t="s">
        <v>644</v>
      </c>
      <c r="E96" s="216" t="b">
        <v>1</v>
      </c>
      <c r="F96" s="216" t="b">
        <v>1</v>
      </c>
      <c r="G96" s="216" t="b">
        <v>1</v>
      </c>
    </row>
    <row r="97" spans="1:7" ht="15">
      <c r="A97" s="223">
        <v>35</v>
      </c>
      <c r="B97" s="227" t="s">
        <v>645</v>
      </c>
      <c r="C97" s="225">
        <v>34</v>
      </c>
      <c r="D97" s="217" t="s">
        <v>645</v>
      </c>
      <c r="E97" s="216" t="b">
        <v>1</v>
      </c>
      <c r="F97" s="216" t="b">
        <v>1</v>
      </c>
      <c r="G97" s="216" t="b">
        <v>1</v>
      </c>
    </row>
    <row r="98" spans="1:7" ht="15">
      <c r="A98" s="223">
        <v>36</v>
      </c>
      <c r="B98" s="228" t="s">
        <v>646</v>
      </c>
      <c r="C98" s="225">
        <v>36</v>
      </c>
      <c r="D98" s="217" t="s">
        <v>139</v>
      </c>
      <c r="E98" s="216" t="b">
        <v>1</v>
      </c>
      <c r="F98" s="216" t="b">
        <v>1</v>
      </c>
      <c r="G98" s="216" t="b">
        <v>1</v>
      </c>
    </row>
    <row r="100" spans="1:2" ht="15">
      <c r="A100" t="s">
        <v>219</v>
      </c>
      <c r="B100" s="319" t="s">
        <v>1002</v>
      </c>
    </row>
    <row r="101" spans="1:2" ht="15">
      <c r="A101" s="301" t="s">
        <v>763</v>
      </c>
      <c r="B101" s="124" t="s">
        <v>1003</v>
      </c>
    </row>
    <row r="102" spans="1:2" ht="15">
      <c r="A102" s="211" t="s">
        <v>764</v>
      </c>
      <c r="B102" s="124" t="s">
        <v>1004</v>
      </c>
    </row>
    <row r="103" spans="1:2" ht="15">
      <c r="A103" s="211" t="s">
        <v>765</v>
      </c>
      <c r="B103" s="124" t="s">
        <v>1004</v>
      </c>
    </row>
    <row r="104" spans="1:2" ht="15">
      <c r="A104" s="212" t="s">
        <v>766</v>
      </c>
      <c r="B104" s="124" t="s">
        <v>1005</v>
      </c>
    </row>
    <row r="106" ht="15">
      <c r="A106" t="s">
        <v>767</v>
      </c>
    </row>
    <row r="107" spans="1:2" ht="15">
      <c r="A107" s="301" t="s">
        <v>8</v>
      </c>
      <c r="B107">
        <v>0</v>
      </c>
    </row>
    <row r="108" spans="1:2" ht="15">
      <c r="A108" s="211" t="s">
        <v>22</v>
      </c>
      <c r="B108">
        <v>1</v>
      </c>
    </row>
    <row r="109" spans="1:2" ht="15">
      <c r="A109" s="211" t="s">
        <v>768</v>
      </c>
      <c r="B109">
        <v>2</v>
      </c>
    </row>
    <row r="110" spans="1:2" ht="15">
      <c r="A110" s="212" t="s">
        <v>769</v>
      </c>
      <c r="B110">
        <v>0</v>
      </c>
    </row>
    <row r="112" ht="15">
      <c r="A112" t="s">
        <v>390</v>
      </c>
    </row>
    <row r="113" spans="1:2" ht="15">
      <c r="A113" s="301" t="s">
        <v>8</v>
      </c>
      <c r="B113" t="s">
        <v>1006</v>
      </c>
    </row>
    <row r="114" spans="1:2" ht="15">
      <c r="A114" s="211" t="s">
        <v>991</v>
      </c>
      <c r="B114" t="s">
        <v>1007</v>
      </c>
    </row>
    <row r="115" spans="1:2" ht="15">
      <c r="A115" s="211" t="s">
        <v>992</v>
      </c>
      <c r="B115" t="s">
        <v>1008</v>
      </c>
    </row>
    <row r="116" spans="1:2" ht="15">
      <c r="A116" s="212" t="s">
        <v>993</v>
      </c>
      <c r="B116" t="s">
        <v>413</v>
      </c>
    </row>
    <row r="118" ht="15">
      <c r="A118" t="s">
        <v>999</v>
      </c>
    </row>
    <row r="119" spans="1:2" ht="15">
      <c r="A119" s="301" t="s">
        <v>8</v>
      </c>
      <c r="B119">
        <v>0</v>
      </c>
    </row>
    <row r="120" spans="1:2" ht="15">
      <c r="A120" s="211" t="s">
        <v>994</v>
      </c>
      <c r="B120">
        <v>1</v>
      </c>
    </row>
    <row r="121" spans="1:2" ht="15">
      <c r="A121" s="211" t="s">
        <v>995</v>
      </c>
      <c r="B121">
        <v>2</v>
      </c>
    </row>
    <row r="122" spans="1:2" ht="15">
      <c r="A122" s="211" t="s">
        <v>996</v>
      </c>
      <c r="B122">
        <v>3</v>
      </c>
    </row>
    <row r="123" spans="1:2" ht="15">
      <c r="A123" s="211" t="s">
        <v>997</v>
      </c>
      <c r="B123">
        <v>4</v>
      </c>
    </row>
    <row r="124" spans="1:2" ht="15">
      <c r="A124" s="212" t="s">
        <v>998</v>
      </c>
      <c r="B124">
        <v>5</v>
      </c>
    </row>
    <row r="126" ht="15">
      <c r="A126" t="s">
        <v>1000</v>
      </c>
    </row>
    <row r="127" ht="15">
      <c r="A127" s="111" t="s">
        <v>8</v>
      </c>
    </row>
    <row r="128" spans="1:3" ht="15">
      <c r="A128" t="s">
        <v>187</v>
      </c>
      <c r="B128" t="b">
        <v>1</v>
      </c>
      <c r="C128">
        <v>1</v>
      </c>
    </row>
    <row r="129" spans="1:3" ht="15">
      <c r="A129" t="s">
        <v>188</v>
      </c>
      <c r="B129" t="b">
        <v>0</v>
      </c>
      <c r="C129">
        <v>2</v>
      </c>
    </row>
    <row r="131" ht="15">
      <c r="A131" t="s">
        <v>1001</v>
      </c>
    </row>
    <row r="132" spans="1:2" ht="15">
      <c r="A132" s="301" t="s">
        <v>187</v>
      </c>
      <c r="B132" t="b">
        <v>1</v>
      </c>
    </row>
    <row r="133" spans="1:2" ht="15">
      <c r="A133" s="212" t="s">
        <v>188</v>
      </c>
      <c r="B133" t="b">
        <v>0</v>
      </c>
    </row>
    <row r="135" ht="15">
      <c r="A135" t="s">
        <v>1009</v>
      </c>
    </row>
    <row r="136" spans="1:2" ht="15">
      <c r="A136" s="301" t="s">
        <v>61</v>
      </c>
      <c r="B136">
        <v>1</v>
      </c>
    </row>
    <row r="137" spans="1:2" ht="15">
      <c r="A137" s="211" t="s">
        <v>26</v>
      </c>
      <c r="B137">
        <v>0.35</v>
      </c>
    </row>
    <row r="138" spans="1:2" ht="15">
      <c r="A138" s="211" t="s">
        <v>66</v>
      </c>
      <c r="B138">
        <v>0.35</v>
      </c>
    </row>
    <row r="139" spans="1:2" ht="15">
      <c r="A139" s="432" t="s">
        <v>63</v>
      </c>
      <c r="B139">
        <v>0.35</v>
      </c>
    </row>
    <row r="140" spans="1:2" ht="15">
      <c r="A140" s="432" t="s">
        <v>64</v>
      </c>
      <c r="B140">
        <v>0.35</v>
      </c>
    </row>
    <row r="141" spans="1:2" ht="15">
      <c r="A141" s="334" t="s">
        <v>65</v>
      </c>
      <c r="B141">
        <v>0.35</v>
      </c>
    </row>
  </sheetData>
  <sheetProtection/>
  <mergeCells count="2">
    <mergeCell ref="I6:J6"/>
    <mergeCell ref="K6:L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Feuil2"/>
  <dimension ref="A1:AQ111"/>
  <sheetViews>
    <sheetView zoomScale="85" zoomScaleNormal="85" zoomScalePageLayoutView="0" workbookViewId="0" topLeftCell="I2">
      <selection activeCell="N8" sqref="N8"/>
    </sheetView>
  </sheetViews>
  <sheetFormatPr defaultColWidth="11.421875" defaultRowHeight="12.75" customHeight="1"/>
  <cols>
    <col min="1" max="1" width="8.57421875" style="0" bestFit="1" customWidth="1"/>
    <col min="2" max="2" width="29.140625" style="0" bestFit="1" customWidth="1"/>
    <col min="3" max="3" width="60.00390625" style="0" bestFit="1" customWidth="1"/>
    <col min="4" max="4" width="13.57421875" style="0" bestFit="1" customWidth="1"/>
    <col min="5" max="5" width="22.140625" style="0" bestFit="1" customWidth="1"/>
    <col min="7" max="7" width="46.00390625" style="0" customWidth="1"/>
    <col min="8" max="8" width="10.00390625" style="0" customWidth="1"/>
    <col min="9" max="9" width="13.421875" style="0" customWidth="1"/>
    <col min="10" max="10" width="26.7109375" style="0" customWidth="1"/>
    <col min="14" max="14" width="24.28125" style="0" customWidth="1"/>
  </cols>
  <sheetData>
    <row r="1" spans="1:43" ht="12.75" customHeight="1">
      <c r="A1" s="54" t="s">
        <v>7</v>
      </c>
      <c r="B1" t="s">
        <v>41</v>
      </c>
      <c r="C1" t="s">
        <v>102</v>
      </c>
      <c r="D1" t="s">
        <v>109</v>
      </c>
      <c r="E1" t="s">
        <v>33</v>
      </c>
      <c r="F1" s="301" t="s">
        <v>121</v>
      </c>
      <c r="G1" t="s">
        <v>60</v>
      </c>
      <c r="J1" t="s">
        <v>168</v>
      </c>
      <c r="M1" s="133" t="s">
        <v>395</v>
      </c>
      <c r="N1" s="133" t="s">
        <v>396</v>
      </c>
      <c r="O1" s="133" t="s">
        <v>397</v>
      </c>
      <c r="P1" s="133" t="s">
        <v>398</v>
      </c>
      <c r="Q1" s="133" t="s">
        <v>399</v>
      </c>
      <c r="R1" s="133" t="s">
        <v>400</v>
      </c>
      <c r="S1" s="133" t="s">
        <v>401</v>
      </c>
      <c r="T1" s="133" t="s">
        <v>402</v>
      </c>
      <c r="U1" s="133" t="s">
        <v>403</v>
      </c>
      <c r="V1" s="133" t="s">
        <v>404</v>
      </c>
      <c r="W1" s="133" t="s">
        <v>405</v>
      </c>
      <c r="X1" s="133" t="s">
        <v>406</v>
      </c>
      <c r="Y1" s="133" t="s">
        <v>407</v>
      </c>
      <c r="Z1" s="133" t="s">
        <v>408</v>
      </c>
      <c r="AA1" s="133" t="s">
        <v>409</v>
      </c>
      <c r="AB1" s="133" t="s">
        <v>410</v>
      </c>
      <c r="AC1" s="133" t="s">
        <v>439</v>
      </c>
      <c r="AD1" s="133" t="s">
        <v>440</v>
      </c>
      <c r="AE1" s="133" t="s">
        <v>441</v>
      </c>
      <c r="AF1" s="133" t="s">
        <v>442</v>
      </c>
      <c r="AG1" s="133" t="s">
        <v>443</v>
      </c>
      <c r="AH1" s="133" t="s">
        <v>444</v>
      </c>
      <c r="AI1" s="133" t="s">
        <v>445</v>
      </c>
      <c r="AJ1" s="133" t="s">
        <v>446</v>
      </c>
      <c r="AL1" s="311" t="s">
        <v>770</v>
      </c>
      <c r="AM1" s="315" t="s">
        <v>771</v>
      </c>
      <c r="AN1" s="311"/>
      <c r="AO1" s="311" t="s">
        <v>772</v>
      </c>
      <c r="AP1" s="311" t="s">
        <v>773</v>
      </c>
      <c r="AQ1" s="311" t="s">
        <v>774</v>
      </c>
    </row>
    <row r="2" spans="1:43" ht="12.75" customHeight="1">
      <c r="A2" s="53" t="s">
        <v>8</v>
      </c>
      <c r="B2" s="53" t="s">
        <v>8</v>
      </c>
      <c r="C2" s="53" t="s">
        <v>8</v>
      </c>
      <c r="D2" s="53" t="s">
        <v>108</v>
      </c>
      <c r="E2" s="53" t="s">
        <v>8</v>
      </c>
      <c r="F2" s="325" t="s">
        <v>8</v>
      </c>
      <c r="G2" s="53" t="s">
        <v>8</v>
      </c>
      <c r="H2" s="111"/>
      <c r="I2" s="111"/>
      <c r="J2" s="53" t="s">
        <v>8</v>
      </c>
      <c r="M2" s="134">
        <v>1</v>
      </c>
      <c r="N2" s="135" t="s">
        <v>61</v>
      </c>
      <c r="O2" s="135" t="s">
        <v>103</v>
      </c>
      <c r="P2" s="136">
        <v>3.6</v>
      </c>
      <c r="Q2" s="137">
        <v>2.04</v>
      </c>
      <c r="R2" s="136">
        <v>1</v>
      </c>
      <c r="S2" s="136">
        <v>3413</v>
      </c>
      <c r="T2" s="138" t="s">
        <v>411</v>
      </c>
      <c r="U2" s="138" t="s">
        <v>412</v>
      </c>
      <c r="V2" s="135"/>
      <c r="W2" s="136">
        <v>2</v>
      </c>
      <c r="X2" s="136">
        <v>0.0002</v>
      </c>
      <c r="Y2" s="136">
        <v>0.0001</v>
      </c>
      <c r="Z2" s="137">
        <v>2.04</v>
      </c>
      <c r="AA2" s="138" t="s">
        <v>413</v>
      </c>
      <c r="AB2" s="137">
        <v>0</v>
      </c>
      <c r="AC2" s="138" t="s">
        <v>37</v>
      </c>
      <c r="AD2" s="138" t="s">
        <v>37</v>
      </c>
      <c r="AE2" s="138" t="s">
        <v>37</v>
      </c>
      <c r="AF2" s="138" t="s">
        <v>37</v>
      </c>
      <c r="AG2" s="138" t="s">
        <v>37</v>
      </c>
      <c r="AH2" s="138" t="s">
        <v>37</v>
      </c>
      <c r="AI2" s="139">
        <v>0</v>
      </c>
      <c r="AJ2" s="136">
        <v>0</v>
      </c>
      <c r="AL2" s="313">
        <v>1</v>
      </c>
      <c r="AM2" s="316" t="s">
        <v>775</v>
      </c>
      <c r="AN2" s="127" t="s">
        <v>105</v>
      </c>
      <c r="AO2" s="138" t="s">
        <v>405</v>
      </c>
      <c r="AP2" s="136">
        <v>1</v>
      </c>
      <c r="AQ2" s="138" t="s">
        <v>423</v>
      </c>
    </row>
    <row r="3" spans="1:43" ht="12.75" customHeight="1">
      <c r="A3" s="52" t="s">
        <v>39</v>
      </c>
      <c r="B3" t="s">
        <v>42</v>
      </c>
      <c r="C3" s="55" t="s">
        <v>61</v>
      </c>
      <c r="D3" s="55" t="s">
        <v>103</v>
      </c>
      <c r="E3" s="60" t="s">
        <v>134</v>
      </c>
      <c r="F3" s="211" t="s">
        <v>33</v>
      </c>
      <c r="G3" t="s">
        <v>125</v>
      </c>
      <c r="H3" s="124" t="s">
        <v>194</v>
      </c>
      <c r="I3" s="124" t="s">
        <v>361</v>
      </c>
      <c r="J3" t="s">
        <v>167</v>
      </c>
      <c r="L3">
        <v>1</v>
      </c>
      <c r="M3" s="134">
        <v>2</v>
      </c>
      <c r="N3" s="135" t="s">
        <v>62</v>
      </c>
      <c r="O3" s="135" t="s">
        <v>104</v>
      </c>
      <c r="P3" s="136">
        <v>37.89</v>
      </c>
      <c r="Q3" s="137">
        <v>1889.32</v>
      </c>
      <c r="R3" s="136">
        <v>10.525</v>
      </c>
      <c r="S3" s="136">
        <v>35921.944</v>
      </c>
      <c r="T3" s="138" t="s">
        <v>414</v>
      </c>
      <c r="U3" s="138" t="s">
        <v>415</v>
      </c>
      <c r="V3" s="135"/>
      <c r="W3" s="136">
        <v>1878</v>
      </c>
      <c r="X3" s="136">
        <v>0.037</v>
      </c>
      <c r="Y3" s="136">
        <v>0.034</v>
      </c>
      <c r="Z3" s="137">
        <v>1889.32</v>
      </c>
      <c r="AA3" s="138" t="s">
        <v>416</v>
      </c>
      <c r="AB3" s="137">
        <v>0</v>
      </c>
      <c r="AC3" s="138" t="s">
        <v>447</v>
      </c>
      <c r="AD3" s="138" t="s">
        <v>448</v>
      </c>
      <c r="AE3" s="138" t="s">
        <v>449</v>
      </c>
      <c r="AF3" s="138" t="s">
        <v>450</v>
      </c>
      <c r="AG3" s="138" t="s">
        <v>451</v>
      </c>
      <c r="AH3" s="138" t="s">
        <v>452</v>
      </c>
      <c r="AI3" s="139">
        <v>0.1285</v>
      </c>
      <c r="AJ3" s="136">
        <v>244.4078995</v>
      </c>
      <c r="AL3" s="313">
        <v>10</v>
      </c>
      <c r="AM3" s="317" t="s">
        <v>776</v>
      </c>
      <c r="AN3" s="127" t="s">
        <v>105</v>
      </c>
      <c r="AO3" s="138" t="s">
        <v>777</v>
      </c>
      <c r="AP3" s="136">
        <v>1300</v>
      </c>
      <c r="AQ3" s="138" t="s">
        <v>423</v>
      </c>
    </row>
    <row r="4" spans="1:43" ht="12.75" customHeight="1">
      <c r="A4" s="52" t="s">
        <v>40</v>
      </c>
      <c r="B4" t="s">
        <v>43</v>
      </c>
      <c r="C4" s="55" t="s">
        <v>62</v>
      </c>
      <c r="D4" s="55" t="s">
        <v>104</v>
      </c>
      <c r="E4" t="s">
        <v>110</v>
      </c>
      <c r="F4" s="211" t="s">
        <v>118</v>
      </c>
      <c r="G4" t="s">
        <v>151</v>
      </c>
      <c r="H4" s="124" t="s">
        <v>195</v>
      </c>
      <c r="I4" s="124" t="s">
        <v>361</v>
      </c>
      <c r="J4" t="s">
        <v>169</v>
      </c>
      <c r="L4">
        <v>2</v>
      </c>
      <c r="M4" s="134">
        <v>3</v>
      </c>
      <c r="N4" s="135" t="s">
        <v>417</v>
      </c>
      <c r="O4" s="135" t="s">
        <v>36</v>
      </c>
      <c r="P4" s="136">
        <v>38.5</v>
      </c>
      <c r="Q4" s="137">
        <v>2734.736</v>
      </c>
      <c r="R4" s="136">
        <v>10.69</v>
      </c>
      <c r="S4" s="136">
        <v>36500.14</v>
      </c>
      <c r="T4" s="138" t="s">
        <v>418</v>
      </c>
      <c r="U4" s="138" t="s">
        <v>419</v>
      </c>
      <c r="V4" s="135"/>
      <c r="W4" s="136">
        <v>2725</v>
      </c>
      <c r="X4" s="136">
        <v>0.006</v>
      </c>
      <c r="Y4" s="136">
        <v>0.031</v>
      </c>
      <c r="Z4" s="137">
        <v>2734.736</v>
      </c>
      <c r="AA4" s="138" t="s">
        <v>420</v>
      </c>
      <c r="AB4" s="137">
        <v>1</v>
      </c>
      <c r="AC4" s="138" t="s">
        <v>37</v>
      </c>
      <c r="AD4" s="138" t="s">
        <v>37</v>
      </c>
      <c r="AE4" s="138" t="s">
        <v>37</v>
      </c>
      <c r="AF4" s="138" t="s">
        <v>37</v>
      </c>
      <c r="AG4" s="138" t="s">
        <v>37</v>
      </c>
      <c r="AH4" s="138" t="s">
        <v>37</v>
      </c>
      <c r="AI4" s="139">
        <v>0.107</v>
      </c>
      <c r="AJ4" s="136">
        <v>292.616752</v>
      </c>
      <c r="AL4" s="313">
        <v>31</v>
      </c>
      <c r="AM4" s="317" t="s">
        <v>778</v>
      </c>
      <c r="AN4" s="127" t="s">
        <v>105</v>
      </c>
      <c r="AO4" s="138" t="s">
        <v>779</v>
      </c>
      <c r="AP4" s="136">
        <v>1810</v>
      </c>
      <c r="AQ4" s="138" t="s">
        <v>780</v>
      </c>
    </row>
    <row r="5" spans="2:43" ht="12.75" customHeight="1">
      <c r="B5" t="s">
        <v>44</v>
      </c>
      <c r="C5" s="55" t="s">
        <v>63</v>
      </c>
      <c r="D5" s="55" t="s">
        <v>36</v>
      </c>
      <c r="E5" t="s">
        <v>131</v>
      </c>
      <c r="F5" s="211" t="s">
        <v>119</v>
      </c>
      <c r="G5" t="s">
        <v>152</v>
      </c>
      <c r="H5" s="124" t="s">
        <v>196</v>
      </c>
      <c r="I5" s="124" t="s">
        <v>361</v>
      </c>
      <c r="J5" t="s">
        <v>170</v>
      </c>
      <c r="M5" s="134">
        <v>4</v>
      </c>
      <c r="N5" s="135" t="s">
        <v>421</v>
      </c>
      <c r="O5" s="135" t="s">
        <v>36</v>
      </c>
      <c r="P5" s="136">
        <v>42.5</v>
      </c>
      <c r="Q5" s="137">
        <v>3146.36</v>
      </c>
      <c r="R5" s="136">
        <v>11.805555555</v>
      </c>
      <c r="S5" s="136">
        <v>40292.36111</v>
      </c>
      <c r="T5" s="138" t="s">
        <v>418</v>
      </c>
      <c r="U5" s="138" t="s">
        <v>419</v>
      </c>
      <c r="V5" s="135"/>
      <c r="W5" s="136">
        <v>3124</v>
      </c>
      <c r="X5" s="136">
        <v>0.12</v>
      </c>
      <c r="Y5" s="136">
        <v>0.064</v>
      </c>
      <c r="Z5" s="137">
        <v>3146.36</v>
      </c>
      <c r="AA5" s="138" t="s">
        <v>422</v>
      </c>
      <c r="AB5" s="137">
        <v>1</v>
      </c>
      <c r="AC5" s="138" t="s">
        <v>37</v>
      </c>
      <c r="AD5" s="138" t="s">
        <v>37</v>
      </c>
      <c r="AE5" s="138" t="s">
        <v>37</v>
      </c>
      <c r="AF5" s="138" t="s">
        <v>37</v>
      </c>
      <c r="AG5" s="138" t="s">
        <v>37</v>
      </c>
      <c r="AH5" s="138" t="s">
        <v>37</v>
      </c>
      <c r="AI5" s="139">
        <v>0.137</v>
      </c>
      <c r="AJ5" s="136">
        <v>431.05132</v>
      </c>
      <c r="AL5" s="313">
        <v>47</v>
      </c>
      <c r="AM5" s="317" t="s">
        <v>781</v>
      </c>
      <c r="AN5" s="127" t="s">
        <v>105</v>
      </c>
      <c r="AO5" s="138" t="s">
        <v>782</v>
      </c>
      <c r="AP5" s="136">
        <v>3260</v>
      </c>
      <c r="AQ5" s="138" t="s">
        <v>423</v>
      </c>
    </row>
    <row r="6" spans="2:43" ht="12.75" customHeight="1">
      <c r="B6" t="s">
        <v>45</v>
      </c>
      <c r="C6" s="55" t="s">
        <v>64</v>
      </c>
      <c r="D6" s="55" t="s">
        <v>36</v>
      </c>
      <c r="E6" t="s">
        <v>132</v>
      </c>
      <c r="F6" s="212" t="s">
        <v>120</v>
      </c>
      <c r="G6" s="59" t="s">
        <v>153</v>
      </c>
      <c r="H6" s="124" t="s">
        <v>197</v>
      </c>
      <c r="I6" s="124" t="s">
        <v>361</v>
      </c>
      <c r="J6" t="s">
        <v>171</v>
      </c>
      <c r="M6" s="134">
        <v>5</v>
      </c>
      <c r="N6" s="135" t="s">
        <v>65</v>
      </c>
      <c r="O6" s="135" t="s">
        <v>36</v>
      </c>
      <c r="P6" s="136">
        <v>25.31</v>
      </c>
      <c r="Q6" s="137">
        <v>1543.984</v>
      </c>
      <c r="R6" s="136">
        <v>7.03</v>
      </c>
      <c r="S6" s="136">
        <v>23995.29</v>
      </c>
      <c r="T6" s="138" t="s">
        <v>423</v>
      </c>
      <c r="U6" s="138" t="s">
        <v>424</v>
      </c>
      <c r="V6" s="135"/>
      <c r="W6" s="136">
        <v>1510</v>
      </c>
      <c r="X6" s="136">
        <v>0.024</v>
      </c>
      <c r="Y6" s="136">
        <v>0.108</v>
      </c>
      <c r="Z6" s="137">
        <v>1543.984</v>
      </c>
      <c r="AA6" s="138" t="s">
        <v>425</v>
      </c>
      <c r="AB6" s="137">
        <v>1</v>
      </c>
      <c r="AC6" s="138" t="s">
        <v>453</v>
      </c>
      <c r="AD6" s="138" t="s">
        <v>454</v>
      </c>
      <c r="AE6" s="138" t="s">
        <v>455</v>
      </c>
      <c r="AF6" s="138" t="s">
        <v>456</v>
      </c>
      <c r="AG6" s="138" t="s">
        <v>457</v>
      </c>
      <c r="AH6" s="138" t="s">
        <v>458</v>
      </c>
      <c r="AI6" s="139">
        <v>0.188</v>
      </c>
      <c r="AJ6" s="136">
        <v>290.268992</v>
      </c>
      <c r="AL6" s="313">
        <v>50</v>
      </c>
      <c r="AM6" s="317" t="s">
        <v>783</v>
      </c>
      <c r="AN6" s="127" t="s">
        <v>105</v>
      </c>
      <c r="AO6" s="138" t="s">
        <v>784</v>
      </c>
      <c r="AP6" s="136">
        <v>1770</v>
      </c>
      <c r="AQ6" s="138" t="s">
        <v>423</v>
      </c>
    </row>
    <row r="7" spans="2:43" ht="12.75" customHeight="1">
      <c r="B7" t="s">
        <v>46</v>
      </c>
      <c r="C7" s="55" t="s">
        <v>65</v>
      </c>
      <c r="D7" s="55" t="s">
        <v>36</v>
      </c>
      <c r="E7" t="s">
        <v>111</v>
      </c>
      <c r="G7" t="s">
        <v>127</v>
      </c>
      <c r="H7" s="124" t="s">
        <v>198</v>
      </c>
      <c r="I7" s="124" t="s">
        <v>361</v>
      </c>
      <c r="J7" t="s">
        <v>172</v>
      </c>
      <c r="M7" s="134">
        <v>6</v>
      </c>
      <c r="N7" s="135" t="s">
        <v>26</v>
      </c>
      <c r="O7" s="135" t="s">
        <v>36</v>
      </c>
      <c r="P7" s="136">
        <v>38.3</v>
      </c>
      <c r="Q7" s="137">
        <v>2789.793</v>
      </c>
      <c r="R7" s="136">
        <v>10.64</v>
      </c>
      <c r="S7" s="136">
        <v>36310.53</v>
      </c>
      <c r="T7" s="138" t="s">
        <v>423</v>
      </c>
      <c r="U7" s="138" t="s">
        <v>426</v>
      </c>
      <c r="V7" s="135"/>
      <c r="W7" s="136">
        <v>2663</v>
      </c>
      <c r="X7" s="136">
        <v>0.133</v>
      </c>
      <c r="Y7" s="136">
        <v>0.4</v>
      </c>
      <c r="Z7" s="137">
        <v>2789.793</v>
      </c>
      <c r="AA7" s="138" t="s">
        <v>37</v>
      </c>
      <c r="AB7" s="137">
        <v>1</v>
      </c>
      <c r="AC7" s="138" t="s">
        <v>459</v>
      </c>
      <c r="AD7" s="138" t="s">
        <v>460</v>
      </c>
      <c r="AE7" s="138" t="s">
        <v>461</v>
      </c>
      <c r="AF7" s="138" t="s">
        <v>462</v>
      </c>
      <c r="AG7" s="138" t="s">
        <v>463</v>
      </c>
      <c r="AH7" s="138" t="s">
        <v>464</v>
      </c>
      <c r="AI7" s="139">
        <v>0.107</v>
      </c>
      <c r="AJ7" s="136">
        <v>298.507851</v>
      </c>
      <c r="AL7" s="313">
        <v>85</v>
      </c>
      <c r="AM7" s="317" t="s">
        <v>785</v>
      </c>
      <c r="AN7" s="127" t="s">
        <v>105</v>
      </c>
      <c r="AO7" s="138" t="s">
        <v>786</v>
      </c>
      <c r="AP7" s="136">
        <v>3300</v>
      </c>
      <c r="AQ7" s="138" t="s">
        <v>423</v>
      </c>
    </row>
    <row r="8" spans="2:43" ht="12.75" customHeight="1">
      <c r="B8" t="s">
        <v>47</v>
      </c>
      <c r="C8" s="55" t="s">
        <v>26</v>
      </c>
      <c r="D8" s="55" t="s">
        <v>36</v>
      </c>
      <c r="E8" t="s">
        <v>112</v>
      </c>
      <c r="G8" t="s">
        <v>154</v>
      </c>
      <c r="H8" s="124" t="s">
        <v>199</v>
      </c>
      <c r="I8" s="124" t="s">
        <v>361</v>
      </c>
      <c r="J8" t="s">
        <v>173</v>
      </c>
      <c r="M8" s="134">
        <v>7</v>
      </c>
      <c r="N8" s="135" t="s">
        <v>66</v>
      </c>
      <c r="O8" s="135" t="s">
        <v>36</v>
      </c>
      <c r="P8" s="136">
        <v>34.87</v>
      </c>
      <c r="Q8" s="137">
        <v>2361.92</v>
      </c>
      <c r="R8" s="136">
        <v>9.69</v>
      </c>
      <c r="S8" s="136">
        <v>33058.7</v>
      </c>
      <c r="T8" s="138" t="s">
        <v>423</v>
      </c>
      <c r="U8" s="138" t="s">
        <v>427</v>
      </c>
      <c r="V8" s="135"/>
      <c r="W8" s="136">
        <v>2289</v>
      </c>
      <c r="X8" s="136">
        <v>2.7</v>
      </c>
      <c r="Y8" s="136">
        <v>0.05</v>
      </c>
      <c r="Z8" s="137">
        <v>2361.2</v>
      </c>
      <c r="AA8" s="138" t="s">
        <v>37</v>
      </c>
      <c r="AB8" s="137">
        <v>1</v>
      </c>
      <c r="AC8" s="138" t="s">
        <v>459</v>
      </c>
      <c r="AD8" s="138" t="s">
        <v>460</v>
      </c>
      <c r="AE8" s="138" t="s">
        <v>461</v>
      </c>
      <c r="AF8" s="138" t="s">
        <v>462</v>
      </c>
      <c r="AG8" s="138" t="s">
        <v>463</v>
      </c>
      <c r="AH8" s="138" t="s">
        <v>464</v>
      </c>
      <c r="AI8" s="139">
        <v>0.17</v>
      </c>
      <c r="AJ8" s="136">
        <v>401.5264</v>
      </c>
      <c r="AL8" s="313">
        <v>86</v>
      </c>
      <c r="AM8" s="317" t="s">
        <v>787</v>
      </c>
      <c r="AN8" s="127" t="s">
        <v>105</v>
      </c>
      <c r="AO8" s="138" t="s">
        <v>788</v>
      </c>
      <c r="AP8" s="136">
        <v>0</v>
      </c>
      <c r="AQ8" s="138" t="s">
        <v>789</v>
      </c>
    </row>
    <row r="9" spans="2:43" ht="12.75" customHeight="1">
      <c r="B9" t="s">
        <v>48</v>
      </c>
      <c r="C9" s="55" t="s">
        <v>66</v>
      </c>
      <c r="D9" s="55" t="s">
        <v>36</v>
      </c>
      <c r="E9" s="60" t="s">
        <v>139</v>
      </c>
      <c r="G9" t="s">
        <v>155</v>
      </c>
      <c r="H9" s="124" t="s">
        <v>200</v>
      </c>
      <c r="I9" s="124" t="s">
        <v>361</v>
      </c>
      <c r="J9" t="s">
        <v>174</v>
      </c>
      <c r="M9" s="134">
        <v>8</v>
      </c>
      <c r="N9" s="135" t="s">
        <v>67</v>
      </c>
      <c r="O9" s="135" t="s">
        <v>36</v>
      </c>
      <c r="P9" s="136">
        <v>33.52</v>
      </c>
      <c r="Q9" s="137">
        <v>2459.5</v>
      </c>
      <c r="R9" s="136">
        <v>9.31</v>
      </c>
      <c r="S9" s="136">
        <v>31778.82</v>
      </c>
      <c r="T9" s="138" t="s">
        <v>423</v>
      </c>
      <c r="U9" s="138" t="s">
        <v>427</v>
      </c>
      <c r="V9" s="135"/>
      <c r="W9" s="136">
        <v>2342</v>
      </c>
      <c r="X9" s="136">
        <v>2.2</v>
      </c>
      <c r="Y9" s="136">
        <v>0.23</v>
      </c>
      <c r="Z9" s="137">
        <v>2459.5</v>
      </c>
      <c r="AA9" s="138" t="s">
        <v>37</v>
      </c>
      <c r="AB9" s="137">
        <v>1</v>
      </c>
      <c r="AC9" s="138" t="s">
        <v>37</v>
      </c>
      <c r="AD9" s="138" t="s">
        <v>37</v>
      </c>
      <c r="AE9" s="138" t="s">
        <v>37</v>
      </c>
      <c r="AF9" s="138" t="s">
        <v>37</v>
      </c>
      <c r="AG9" s="138" t="s">
        <v>37</v>
      </c>
      <c r="AH9" s="138" t="s">
        <v>37</v>
      </c>
      <c r="AI9" s="139">
        <v>0.17</v>
      </c>
      <c r="AJ9" s="136">
        <v>418.115</v>
      </c>
      <c r="AL9" s="313">
        <v>92</v>
      </c>
      <c r="AM9" s="317" t="s">
        <v>790</v>
      </c>
      <c r="AN9" s="127" t="s">
        <v>105</v>
      </c>
      <c r="AO9" s="138" t="s">
        <v>791</v>
      </c>
      <c r="AP9" s="136">
        <v>2292.28</v>
      </c>
      <c r="AQ9" s="138" t="s">
        <v>423</v>
      </c>
    </row>
    <row r="10" spans="2:43" ht="12.75" customHeight="1">
      <c r="B10" t="s">
        <v>49</v>
      </c>
      <c r="C10" s="55" t="s">
        <v>67</v>
      </c>
      <c r="D10" s="55" t="s">
        <v>36</v>
      </c>
      <c r="E10" t="s">
        <v>115</v>
      </c>
      <c r="G10" t="s">
        <v>129</v>
      </c>
      <c r="H10" s="124" t="s">
        <v>201</v>
      </c>
      <c r="I10" s="124" t="s">
        <v>361</v>
      </c>
      <c r="J10" t="s">
        <v>175</v>
      </c>
      <c r="M10" s="134">
        <v>9</v>
      </c>
      <c r="N10" s="135" t="s">
        <v>68</v>
      </c>
      <c r="O10" s="135" t="s">
        <v>36</v>
      </c>
      <c r="P10" s="136">
        <v>37.4</v>
      </c>
      <c r="Q10" s="137">
        <v>2606.98</v>
      </c>
      <c r="R10" s="136">
        <v>10.39</v>
      </c>
      <c r="S10" s="136">
        <v>35457.28</v>
      </c>
      <c r="T10" s="138" t="s">
        <v>423</v>
      </c>
      <c r="U10" s="138" t="s">
        <v>37</v>
      </c>
      <c r="V10" s="135" t="s">
        <v>37</v>
      </c>
      <c r="W10" s="136">
        <v>2534</v>
      </c>
      <c r="X10" s="136">
        <v>0.08</v>
      </c>
      <c r="Y10" s="136">
        <v>0.23</v>
      </c>
      <c r="Z10" s="137">
        <v>2606.98</v>
      </c>
      <c r="AA10" s="138" t="s">
        <v>37</v>
      </c>
      <c r="AB10" s="137">
        <v>1</v>
      </c>
      <c r="AC10" s="138" t="s">
        <v>465</v>
      </c>
      <c r="AD10" s="138" t="s">
        <v>466</v>
      </c>
      <c r="AE10" s="138" t="s">
        <v>467</v>
      </c>
      <c r="AF10" s="138" t="s">
        <v>468</v>
      </c>
      <c r="AG10" s="138" t="s">
        <v>469</v>
      </c>
      <c r="AH10" s="138" t="s">
        <v>470</v>
      </c>
      <c r="AI10" s="139">
        <v>0.093</v>
      </c>
      <c r="AJ10" s="136">
        <v>242.44914</v>
      </c>
      <c r="AL10" s="313">
        <v>74</v>
      </c>
      <c r="AM10" s="317" t="s">
        <v>792</v>
      </c>
      <c r="AN10" s="127" t="s">
        <v>105</v>
      </c>
      <c r="AO10" s="138" t="s">
        <v>793</v>
      </c>
      <c r="AP10" s="136">
        <v>5</v>
      </c>
      <c r="AQ10" s="138" t="s">
        <v>780</v>
      </c>
    </row>
    <row r="11" spans="2:43" ht="12.75" customHeight="1">
      <c r="B11" t="s">
        <v>50</v>
      </c>
      <c r="C11" s="55" t="s">
        <v>68</v>
      </c>
      <c r="D11" s="55" t="s">
        <v>36</v>
      </c>
      <c r="E11" s="60" t="s">
        <v>138</v>
      </c>
      <c r="G11" t="s">
        <v>156</v>
      </c>
      <c r="H11" s="124" t="s">
        <v>202</v>
      </c>
      <c r="I11" s="124" t="s">
        <v>361</v>
      </c>
      <c r="J11" t="s">
        <v>176</v>
      </c>
      <c r="M11" s="134">
        <v>10</v>
      </c>
      <c r="N11" s="135" t="s">
        <v>69</v>
      </c>
      <c r="O11" s="135" t="s">
        <v>36</v>
      </c>
      <c r="P11" s="136">
        <v>37.68</v>
      </c>
      <c r="Q11" s="137">
        <v>2543.736</v>
      </c>
      <c r="R11" s="136">
        <v>10.469444</v>
      </c>
      <c r="S11" s="136">
        <v>35722.73</v>
      </c>
      <c r="T11" s="138" t="s">
        <v>423</v>
      </c>
      <c r="U11" s="138" t="s">
        <v>37</v>
      </c>
      <c r="V11" s="135" t="s">
        <v>37</v>
      </c>
      <c r="W11" s="136">
        <v>2534</v>
      </c>
      <c r="X11" s="136">
        <v>0.006</v>
      </c>
      <c r="Y11" s="136">
        <v>0.031</v>
      </c>
      <c r="Z11" s="137">
        <v>2543.736</v>
      </c>
      <c r="AA11" s="138" t="s">
        <v>37</v>
      </c>
      <c r="AB11" s="137">
        <v>1</v>
      </c>
      <c r="AC11" s="138" t="s">
        <v>37</v>
      </c>
      <c r="AD11" s="138" t="s">
        <v>37</v>
      </c>
      <c r="AE11" s="138" t="s">
        <v>37</v>
      </c>
      <c r="AF11" s="138" t="s">
        <v>37</v>
      </c>
      <c r="AG11" s="138" t="s">
        <v>37</v>
      </c>
      <c r="AH11" s="138" t="s">
        <v>37</v>
      </c>
      <c r="AI11" s="139">
        <v>0.093</v>
      </c>
      <c r="AJ11" s="136">
        <v>236.567448</v>
      </c>
      <c r="AL11" s="313">
        <v>25</v>
      </c>
      <c r="AM11" s="317" t="s">
        <v>794</v>
      </c>
      <c r="AN11" s="127" t="s">
        <v>105</v>
      </c>
      <c r="AO11" s="138" t="s">
        <v>795</v>
      </c>
      <c r="AP11" s="136">
        <v>4750</v>
      </c>
      <c r="AQ11" s="138" t="s">
        <v>780</v>
      </c>
    </row>
    <row r="12" spans="2:43" ht="12.75" customHeight="1">
      <c r="B12" t="s">
        <v>51</v>
      </c>
      <c r="C12" s="55" t="s">
        <v>69</v>
      </c>
      <c r="D12" s="55" t="s">
        <v>36</v>
      </c>
      <c r="E12" s="60" t="s">
        <v>136</v>
      </c>
      <c r="G12" t="s">
        <v>157</v>
      </c>
      <c r="H12" s="124" t="s">
        <v>203</v>
      </c>
      <c r="I12" s="124" t="s">
        <v>361</v>
      </c>
      <c r="J12" t="s">
        <v>177</v>
      </c>
      <c r="M12" s="134">
        <v>11</v>
      </c>
      <c r="N12" s="135" t="s">
        <v>70</v>
      </c>
      <c r="O12" s="135" t="s">
        <v>36</v>
      </c>
      <c r="P12" s="136">
        <v>44.46</v>
      </c>
      <c r="Q12" s="137">
        <v>1778.4</v>
      </c>
      <c r="R12" s="136">
        <v>12.35</v>
      </c>
      <c r="S12" s="136">
        <v>42150.55</v>
      </c>
      <c r="T12" s="138" t="s">
        <v>428</v>
      </c>
      <c r="U12" s="138" t="s">
        <v>37</v>
      </c>
      <c r="V12" s="135" t="s">
        <v>37</v>
      </c>
      <c r="W12" s="136">
        <v>1778.4</v>
      </c>
      <c r="X12" s="136" t="s">
        <v>37</v>
      </c>
      <c r="Y12" s="136" t="s">
        <v>37</v>
      </c>
      <c r="Z12" s="137">
        <v>1778.4</v>
      </c>
      <c r="AA12" s="138" t="s">
        <v>37</v>
      </c>
      <c r="AB12" s="137">
        <v>1</v>
      </c>
      <c r="AC12" s="138" t="s">
        <v>471</v>
      </c>
      <c r="AD12" s="138" t="s">
        <v>472</v>
      </c>
      <c r="AE12" s="138" t="s">
        <v>473</v>
      </c>
      <c r="AF12" s="138" t="s">
        <v>474</v>
      </c>
      <c r="AG12" s="138" t="s">
        <v>470</v>
      </c>
      <c r="AH12" s="138" t="s">
        <v>475</v>
      </c>
      <c r="AI12" s="139">
        <v>0.137</v>
      </c>
      <c r="AJ12" s="136">
        <v>243.6408</v>
      </c>
      <c r="AL12" s="313">
        <v>28</v>
      </c>
      <c r="AM12" s="317" t="s">
        <v>796</v>
      </c>
      <c r="AN12" s="127" t="s">
        <v>105</v>
      </c>
      <c r="AO12" s="138" t="s">
        <v>797</v>
      </c>
      <c r="AP12" s="136">
        <v>6130</v>
      </c>
      <c r="AQ12" s="138" t="s">
        <v>780</v>
      </c>
    </row>
    <row r="13" spans="2:43" ht="12.75" customHeight="1">
      <c r="B13" t="s">
        <v>52</v>
      </c>
      <c r="C13" s="55" t="s">
        <v>70</v>
      </c>
      <c r="D13" s="55" t="s">
        <v>36</v>
      </c>
      <c r="E13" s="60" t="s">
        <v>137</v>
      </c>
      <c r="G13" t="s">
        <v>126</v>
      </c>
      <c r="H13" s="124" t="s">
        <v>204</v>
      </c>
      <c r="I13" s="124" t="s">
        <v>361</v>
      </c>
      <c r="J13" t="s">
        <v>178</v>
      </c>
      <c r="M13" s="134">
        <v>12</v>
      </c>
      <c r="N13" s="135" t="s">
        <v>71</v>
      </c>
      <c r="O13" s="135" t="s">
        <v>36</v>
      </c>
      <c r="P13" s="136">
        <v>36.08</v>
      </c>
      <c r="Q13" s="137">
        <v>1756.88</v>
      </c>
      <c r="R13" s="136">
        <v>10.02</v>
      </c>
      <c r="S13" s="136">
        <v>34205.84</v>
      </c>
      <c r="T13" s="138" t="s">
        <v>423</v>
      </c>
      <c r="U13" s="138" t="s">
        <v>37</v>
      </c>
      <c r="V13" s="135" t="s">
        <v>37</v>
      </c>
      <c r="W13" s="136">
        <v>1750</v>
      </c>
      <c r="X13" s="136" t="s">
        <v>37</v>
      </c>
      <c r="Y13" s="136">
        <v>0.0222</v>
      </c>
      <c r="Z13" s="137">
        <v>1756.88</v>
      </c>
      <c r="AA13" s="138" t="s">
        <v>37</v>
      </c>
      <c r="AB13" s="137">
        <v>1</v>
      </c>
      <c r="AC13" s="138" t="s">
        <v>476</v>
      </c>
      <c r="AD13" s="138" t="s">
        <v>477</v>
      </c>
      <c r="AE13" s="138" t="s">
        <v>478</v>
      </c>
      <c r="AF13" s="138" t="s">
        <v>479</v>
      </c>
      <c r="AG13" s="138" t="s">
        <v>480</v>
      </c>
      <c r="AH13" s="138" t="s">
        <v>481</v>
      </c>
      <c r="AI13" s="139">
        <v>0.188</v>
      </c>
      <c r="AJ13" s="136">
        <v>329.001128</v>
      </c>
      <c r="AL13" s="313">
        <v>29</v>
      </c>
      <c r="AM13" s="317" t="s">
        <v>798</v>
      </c>
      <c r="AN13" s="127" t="s">
        <v>105</v>
      </c>
      <c r="AO13" s="138" t="s">
        <v>799</v>
      </c>
      <c r="AP13" s="136">
        <v>10000</v>
      </c>
      <c r="AQ13" s="138" t="s">
        <v>780</v>
      </c>
    </row>
    <row r="14" spans="2:43" ht="12.75" customHeight="1">
      <c r="B14" t="s">
        <v>53</v>
      </c>
      <c r="C14" s="55" t="s">
        <v>71</v>
      </c>
      <c r="D14" s="55" t="s">
        <v>36</v>
      </c>
      <c r="E14" s="60" t="s">
        <v>116</v>
      </c>
      <c r="G14" t="s">
        <v>158</v>
      </c>
      <c r="H14" s="124" t="s">
        <v>205</v>
      </c>
      <c r="I14" s="124" t="s">
        <v>361</v>
      </c>
      <c r="M14" s="134">
        <v>16</v>
      </c>
      <c r="N14" s="135" t="s">
        <v>72</v>
      </c>
      <c r="O14" s="135" t="s">
        <v>105</v>
      </c>
      <c r="P14" s="136">
        <v>15</v>
      </c>
      <c r="Q14" s="137">
        <v>1486.83</v>
      </c>
      <c r="R14" s="136">
        <v>4.17</v>
      </c>
      <c r="S14" s="136">
        <v>14220.83</v>
      </c>
      <c r="T14" s="138" t="s">
        <v>423</v>
      </c>
      <c r="U14" s="138" t="s">
        <v>37</v>
      </c>
      <c r="V14" s="135" t="s">
        <v>37</v>
      </c>
      <c r="W14" s="136">
        <v>1480</v>
      </c>
      <c r="X14" s="136">
        <v>0.03</v>
      </c>
      <c r="Y14" s="136">
        <v>0.02</v>
      </c>
      <c r="Z14" s="137">
        <v>1486.83</v>
      </c>
      <c r="AA14" s="138" t="s">
        <v>37</v>
      </c>
      <c r="AB14" s="137">
        <v>1</v>
      </c>
      <c r="AC14" s="138" t="s">
        <v>482</v>
      </c>
      <c r="AD14" s="138" t="s">
        <v>483</v>
      </c>
      <c r="AE14" s="138" t="s">
        <v>484</v>
      </c>
      <c r="AF14" s="138" t="s">
        <v>485</v>
      </c>
      <c r="AG14" s="138" t="s">
        <v>486</v>
      </c>
      <c r="AH14" s="138" t="s">
        <v>487</v>
      </c>
      <c r="AI14" s="139">
        <v>0.08</v>
      </c>
      <c r="AJ14" s="136">
        <v>118.9464</v>
      </c>
      <c r="AL14" s="313">
        <v>30</v>
      </c>
      <c r="AM14" s="317" t="s">
        <v>800</v>
      </c>
      <c r="AN14" s="127" t="s">
        <v>105</v>
      </c>
      <c r="AO14" s="138" t="s">
        <v>801</v>
      </c>
      <c r="AP14" s="136">
        <v>7370</v>
      </c>
      <c r="AQ14" s="138" t="s">
        <v>780</v>
      </c>
    </row>
    <row r="15" spans="2:43" ht="12.75" customHeight="1">
      <c r="B15" t="s">
        <v>54</v>
      </c>
      <c r="C15" s="55" t="s">
        <v>72</v>
      </c>
      <c r="D15" s="55" t="s">
        <v>105</v>
      </c>
      <c r="E15" t="s">
        <v>117</v>
      </c>
      <c r="G15" t="s">
        <v>159</v>
      </c>
      <c r="H15" s="124" t="s">
        <v>206</v>
      </c>
      <c r="I15" s="124" t="s">
        <v>361</v>
      </c>
      <c r="M15" s="134">
        <v>19</v>
      </c>
      <c r="N15" s="135" t="s">
        <v>73</v>
      </c>
      <c r="O15" s="135" t="s">
        <v>36</v>
      </c>
      <c r="P15" s="136">
        <v>28.44</v>
      </c>
      <c r="Q15" s="137">
        <v>1763.984</v>
      </c>
      <c r="R15" s="136">
        <v>7.9</v>
      </c>
      <c r="S15" s="136">
        <v>26962.7</v>
      </c>
      <c r="T15" s="138" t="s">
        <v>423</v>
      </c>
      <c r="U15" s="138" t="s">
        <v>37</v>
      </c>
      <c r="V15" s="135" t="s">
        <v>37</v>
      </c>
      <c r="W15" s="136">
        <v>1730</v>
      </c>
      <c r="X15" s="136">
        <v>0.024</v>
      </c>
      <c r="Y15" s="136">
        <v>0.108</v>
      </c>
      <c r="Z15" s="137">
        <v>1763.984</v>
      </c>
      <c r="AA15" s="138" t="s">
        <v>37</v>
      </c>
      <c r="AB15" s="137">
        <v>1</v>
      </c>
      <c r="AC15" s="138" t="s">
        <v>37</v>
      </c>
      <c r="AD15" s="138" t="s">
        <v>37</v>
      </c>
      <c r="AE15" s="138" t="s">
        <v>37</v>
      </c>
      <c r="AF15" s="138" t="s">
        <v>37</v>
      </c>
      <c r="AG15" s="138" t="s">
        <v>37</v>
      </c>
      <c r="AH15" s="138" t="s">
        <v>37</v>
      </c>
      <c r="AI15" s="139">
        <v>0.188</v>
      </c>
      <c r="AJ15" s="136">
        <v>331.628992</v>
      </c>
      <c r="AL15" s="313">
        <v>26</v>
      </c>
      <c r="AM15" s="317" t="s">
        <v>802</v>
      </c>
      <c r="AN15" s="127" t="s">
        <v>105</v>
      </c>
      <c r="AO15" s="138" t="s">
        <v>803</v>
      </c>
      <c r="AP15" s="136">
        <v>10900</v>
      </c>
      <c r="AQ15" s="138" t="s">
        <v>780</v>
      </c>
    </row>
    <row r="16" spans="2:43" ht="12.75" customHeight="1">
      <c r="B16" t="s">
        <v>55</v>
      </c>
      <c r="C16" s="55" t="s">
        <v>73</v>
      </c>
      <c r="D16" s="55" t="s">
        <v>36</v>
      </c>
      <c r="E16" t="s">
        <v>113</v>
      </c>
      <c r="G16" t="s">
        <v>160</v>
      </c>
      <c r="H16" s="124" t="s">
        <v>207</v>
      </c>
      <c r="I16" s="124" t="s">
        <v>361</v>
      </c>
      <c r="M16" s="134">
        <v>20</v>
      </c>
      <c r="N16" s="135" t="s">
        <v>74</v>
      </c>
      <c r="O16" s="135" t="s">
        <v>36</v>
      </c>
      <c r="P16" s="136">
        <v>17.22</v>
      </c>
      <c r="Q16" s="137">
        <v>976</v>
      </c>
      <c r="R16" s="136">
        <v>4.78</v>
      </c>
      <c r="S16" s="136">
        <v>16325.52</v>
      </c>
      <c r="T16" s="138" t="s">
        <v>423</v>
      </c>
      <c r="U16" s="138" t="s">
        <v>37</v>
      </c>
      <c r="V16" s="135" t="s">
        <v>37</v>
      </c>
      <c r="W16" s="136">
        <v>976</v>
      </c>
      <c r="X16" s="136" t="s">
        <v>37</v>
      </c>
      <c r="Y16" s="136" t="s">
        <v>37</v>
      </c>
      <c r="Z16" s="137">
        <v>976</v>
      </c>
      <c r="AA16" s="138" t="s">
        <v>37</v>
      </c>
      <c r="AB16" s="137">
        <v>1</v>
      </c>
      <c r="AC16" s="138" t="s">
        <v>37</v>
      </c>
      <c r="AD16" s="138" t="s">
        <v>37</v>
      </c>
      <c r="AE16" s="138" t="s">
        <v>37</v>
      </c>
      <c r="AF16" s="138" t="s">
        <v>37</v>
      </c>
      <c r="AG16" s="138" t="s">
        <v>37</v>
      </c>
      <c r="AH16" s="138" t="s">
        <v>37</v>
      </c>
      <c r="AI16" s="139">
        <v>0.093</v>
      </c>
      <c r="AJ16" s="136">
        <v>90.768</v>
      </c>
      <c r="AL16" s="313">
        <v>27</v>
      </c>
      <c r="AM16" s="317" t="s">
        <v>804</v>
      </c>
      <c r="AN16" s="127" t="s">
        <v>105</v>
      </c>
      <c r="AO16" s="138" t="s">
        <v>805</v>
      </c>
      <c r="AP16" s="136">
        <v>14400</v>
      </c>
      <c r="AQ16" s="138" t="s">
        <v>780</v>
      </c>
    </row>
    <row r="17" spans="2:43" ht="12.75" customHeight="1">
      <c r="B17" t="s">
        <v>56</v>
      </c>
      <c r="C17" s="55" t="s">
        <v>74</v>
      </c>
      <c r="D17" s="55" t="s">
        <v>36</v>
      </c>
      <c r="E17" t="s">
        <v>114</v>
      </c>
      <c r="G17" t="s">
        <v>161</v>
      </c>
      <c r="H17" s="124" t="s">
        <v>208</v>
      </c>
      <c r="I17" s="124" t="s">
        <v>361</v>
      </c>
      <c r="M17" s="134">
        <v>21</v>
      </c>
      <c r="N17" s="135" t="s">
        <v>75</v>
      </c>
      <c r="O17" s="135" t="s">
        <v>105</v>
      </c>
      <c r="P17" s="136">
        <v>28.83</v>
      </c>
      <c r="Q17" s="137">
        <v>2486.83</v>
      </c>
      <c r="R17" s="136">
        <v>8.008333333</v>
      </c>
      <c r="S17" s="136">
        <v>27332.44167</v>
      </c>
      <c r="T17" s="138" t="s">
        <v>429</v>
      </c>
      <c r="U17" s="138" t="s">
        <v>37</v>
      </c>
      <c r="V17" s="135" t="s">
        <v>37</v>
      </c>
      <c r="W17" s="136">
        <v>2480</v>
      </c>
      <c r="X17" s="136">
        <v>0.03</v>
      </c>
      <c r="Y17" s="136">
        <v>0.02</v>
      </c>
      <c r="Z17" s="137">
        <v>2486.83</v>
      </c>
      <c r="AA17" s="138" t="s">
        <v>37</v>
      </c>
      <c r="AB17" s="137">
        <v>1</v>
      </c>
      <c r="AC17" s="138" t="s">
        <v>488</v>
      </c>
      <c r="AD17" s="138" t="s">
        <v>489</v>
      </c>
      <c r="AE17" s="138" t="s">
        <v>490</v>
      </c>
      <c r="AF17" s="138" t="s">
        <v>491</v>
      </c>
      <c r="AG17" s="138" t="s">
        <v>492</v>
      </c>
      <c r="AH17" s="138" t="s">
        <v>493</v>
      </c>
      <c r="AI17" s="139">
        <v>0.08</v>
      </c>
      <c r="AJ17" s="136">
        <v>198.9464</v>
      </c>
      <c r="AL17" s="313">
        <v>38</v>
      </c>
      <c r="AM17" s="317" t="s">
        <v>806</v>
      </c>
      <c r="AN17" s="127" t="s">
        <v>105</v>
      </c>
      <c r="AO17" s="138" t="s">
        <v>807</v>
      </c>
      <c r="AP17" s="136">
        <v>7140</v>
      </c>
      <c r="AQ17" s="138" t="s">
        <v>780</v>
      </c>
    </row>
    <row r="18" spans="2:43" ht="12.75" customHeight="1">
      <c r="B18" t="s">
        <v>57</v>
      </c>
      <c r="C18" s="55" t="s">
        <v>75</v>
      </c>
      <c r="D18" s="55" t="s">
        <v>105</v>
      </c>
      <c r="E18" s="60" t="s">
        <v>135</v>
      </c>
      <c r="G18" t="s">
        <v>162</v>
      </c>
      <c r="H18" s="124" t="s">
        <v>209</v>
      </c>
      <c r="I18" s="124" t="s">
        <v>361</v>
      </c>
      <c r="M18" s="134">
        <v>22</v>
      </c>
      <c r="N18" s="135" t="s">
        <v>76</v>
      </c>
      <c r="O18" s="135" t="s">
        <v>105</v>
      </c>
      <c r="P18" s="136">
        <v>46.35</v>
      </c>
      <c r="Q18" s="137">
        <v>3836.735</v>
      </c>
      <c r="R18" s="136">
        <v>12.88</v>
      </c>
      <c r="S18" s="136">
        <v>43942.38</v>
      </c>
      <c r="T18" s="138" t="s">
        <v>423</v>
      </c>
      <c r="U18" s="138" t="s">
        <v>37</v>
      </c>
      <c r="V18" s="135" t="s">
        <v>37</v>
      </c>
      <c r="W18" s="136">
        <v>3826</v>
      </c>
      <c r="X18" s="136">
        <v>0.12</v>
      </c>
      <c r="Y18" s="136">
        <v>0.0265</v>
      </c>
      <c r="Z18" s="137">
        <v>3836.735</v>
      </c>
      <c r="AA18" s="138" t="s">
        <v>37</v>
      </c>
      <c r="AB18" s="137">
        <v>1</v>
      </c>
      <c r="AC18" s="138" t="s">
        <v>494</v>
      </c>
      <c r="AD18" s="138" t="s">
        <v>495</v>
      </c>
      <c r="AE18" s="138" t="s">
        <v>496</v>
      </c>
      <c r="AF18" s="138" t="s">
        <v>497</v>
      </c>
      <c r="AG18" s="138" t="s">
        <v>498</v>
      </c>
      <c r="AH18" s="138" t="s">
        <v>487</v>
      </c>
      <c r="AI18" s="139">
        <v>0.08</v>
      </c>
      <c r="AJ18" s="136">
        <v>306.9388</v>
      </c>
      <c r="AL18" s="313">
        <v>83</v>
      </c>
      <c r="AM18" s="317" t="s">
        <v>808</v>
      </c>
      <c r="AN18" s="127" t="s">
        <v>105</v>
      </c>
      <c r="AO18" s="138" t="s">
        <v>809</v>
      </c>
      <c r="AP18" s="136">
        <v>1890</v>
      </c>
      <c r="AQ18" s="138" t="s">
        <v>780</v>
      </c>
    </row>
    <row r="19" spans="2:43" ht="12.75" customHeight="1">
      <c r="B19" t="s">
        <v>58</v>
      </c>
      <c r="C19" s="55" t="s">
        <v>76</v>
      </c>
      <c r="D19" s="55" t="s">
        <v>105</v>
      </c>
      <c r="E19" t="s">
        <v>140</v>
      </c>
      <c r="G19" t="s">
        <v>163</v>
      </c>
      <c r="H19" s="124" t="s">
        <v>210</v>
      </c>
      <c r="I19" s="124" t="s">
        <v>361</v>
      </c>
      <c r="M19" s="134">
        <v>23</v>
      </c>
      <c r="N19" s="135" t="s">
        <v>77</v>
      </c>
      <c r="O19" s="135" t="s">
        <v>105</v>
      </c>
      <c r="P19" s="136">
        <v>27.599911</v>
      </c>
      <c r="Q19" s="137">
        <v>35.966</v>
      </c>
      <c r="R19" s="136">
        <v>7.6666419</v>
      </c>
      <c r="S19" s="136">
        <v>26166.248</v>
      </c>
      <c r="T19" s="138" t="s">
        <v>430</v>
      </c>
      <c r="U19" s="138" t="s">
        <v>37</v>
      </c>
      <c r="V19" s="135" t="s">
        <v>37</v>
      </c>
      <c r="W19" s="136">
        <v>3190</v>
      </c>
      <c r="X19" s="136">
        <v>0.576</v>
      </c>
      <c r="Y19" s="136">
        <v>0.077</v>
      </c>
      <c r="Z19" s="137">
        <v>3231.966</v>
      </c>
      <c r="AA19" s="138" t="s">
        <v>37</v>
      </c>
      <c r="AB19" s="137">
        <v>1</v>
      </c>
      <c r="AC19" s="138" t="s">
        <v>499</v>
      </c>
      <c r="AD19" s="138" t="s">
        <v>500</v>
      </c>
      <c r="AE19" s="138" t="s">
        <v>501</v>
      </c>
      <c r="AF19" s="138" t="s">
        <v>502</v>
      </c>
      <c r="AG19" s="138" t="s">
        <v>503</v>
      </c>
      <c r="AH19" s="138" t="s">
        <v>504</v>
      </c>
      <c r="AI19" s="139">
        <v>0</v>
      </c>
      <c r="AJ19" s="136">
        <v>0</v>
      </c>
      <c r="AL19" s="313">
        <v>84</v>
      </c>
      <c r="AM19" s="317" t="s">
        <v>810</v>
      </c>
      <c r="AN19" s="127" t="s">
        <v>105</v>
      </c>
      <c r="AO19" s="138" t="s">
        <v>811</v>
      </c>
      <c r="AP19" s="136">
        <v>1640</v>
      </c>
      <c r="AQ19" s="138" t="s">
        <v>780</v>
      </c>
    </row>
    <row r="20" spans="3:43" ht="12.75" customHeight="1">
      <c r="C20" s="55" t="s">
        <v>77</v>
      </c>
      <c r="D20" s="55" t="s">
        <v>105</v>
      </c>
      <c r="E20" t="s">
        <v>141</v>
      </c>
      <c r="G20" t="s">
        <v>128</v>
      </c>
      <c r="H20" s="124" t="s">
        <v>211</v>
      </c>
      <c r="I20" s="124" t="s">
        <v>361</v>
      </c>
      <c r="M20" s="134">
        <v>26</v>
      </c>
      <c r="N20" s="135" t="s">
        <v>78</v>
      </c>
      <c r="O20" s="135" t="s">
        <v>105</v>
      </c>
      <c r="P20" s="136">
        <v>14.2</v>
      </c>
      <c r="Q20" s="137">
        <v>9.231</v>
      </c>
      <c r="R20" s="136">
        <v>3.94</v>
      </c>
      <c r="S20" s="136">
        <v>13462.39</v>
      </c>
      <c r="T20" s="138" t="s">
        <v>423</v>
      </c>
      <c r="U20" s="138" t="s">
        <v>37</v>
      </c>
      <c r="V20" s="135" t="s">
        <v>37</v>
      </c>
      <c r="W20" s="136">
        <v>1304</v>
      </c>
      <c r="X20" s="136">
        <v>0.041</v>
      </c>
      <c r="Y20" s="136">
        <v>0.027</v>
      </c>
      <c r="Z20" s="137">
        <v>1313.23</v>
      </c>
      <c r="AA20" s="138" t="s">
        <v>37</v>
      </c>
      <c r="AB20" s="137">
        <v>2</v>
      </c>
      <c r="AC20" s="138" t="s">
        <v>37</v>
      </c>
      <c r="AD20" s="138" t="s">
        <v>37</v>
      </c>
      <c r="AE20" s="138" t="s">
        <v>37</v>
      </c>
      <c r="AF20" s="138" t="s">
        <v>505</v>
      </c>
      <c r="AG20" s="138" t="s">
        <v>474</v>
      </c>
      <c r="AH20" s="138" t="s">
        <v>506</v>
      </c>
      <c r="AI20" s="139">
        <v>0</v>
      </c>
      <c r="AJ20" s="136">
        <v>0</v>
      </c>
      <c r="AL20" s="313">
        <v>32</v>
      </c>
      <c r="AM20" s="317" t="s">
        <v>812</v>
      </c>
      <c r="AN20" s="127" t="s">
        <v>105</v>
      </c>
      <c r="AO20" s="138" t="s">
        <v>813</v>
      </c>
      <c r="AP20" s="136">
        <v>77</v>
      </c>
      <c r="AQ20" s="138" t="s">
        <v>780</v>
      </c>
    </row>
    <row r="21" spans="3:43" ht="12.75" customHeight="1">
      <c r="C21" s="55" t="s">
        <v>78</v>
      </c>
      <c r="D21" s="55" t="s">
        <v>105</v>
      </c>
      <c r="E21" t="s">
        <v>142</v>
      </c>
      <c r="G21" t="s">
        <v>164</v>
      </c>
      <c r="H21" s="124" t="s">
        <v>212</v>
      </c>
      <c r="I21" s="124" t="s">
        <v>361</v>
      </c>
      <c r="M21" s="134">
        <v>29</v>
      </c>
      <c r="N21" s="135" t="s">
        <v>79</v>
      </c>
      <c r="O21" s="135" t="s">
        <v>103</v>
      </c>
      <c r="P21" s="136">
        <v>3.6</v>
      </c>
      <c r="Q21" s="137" t="s">
        <v>37</v>
      </c>
      <c r="R21" s="136">
        <v>1</v>
      </c>
      <c r="S21" s="136">
        <v>3413</v>
      </c>
      <c r="T21" s="138" t="s">
        <v>37</v>
      </c>
      <c r="U21" s="138" t="s">
        <v>37</v>
      </c>
      <c r="V21" s="135" t="s">
        <v>37</v>
      </c>
      <c r="W21" s="136" t="s">
        <v>37</v>
      </c>
      <c r="X21" s="136" t="s">
        <v>37</v>
      </c>
      <c r="Y21" s="136" t="s">
        <v>37</v>
      </c>
      <c r="Z21" s="137" t="s">
        <v>37</v>
      </c>
      <c r="AA21" s="138" t="s">
        <v>37</v>
      </c>
      <c r="AB21" s="137">
        <v>0</v>
      </c>
      <c r="AC21" s="138" t="s">
        <v>37</v>
      </c>
      <c r="AD21" s="138" t="s">
        <v>37</v>
      </c>
      <c r="AE21" s="138" t="s">
        <v>37</v>
      </c>
      <c r="AF21" s="138" t="s">
        <v>37</v>
      </c>
      <c r="AG21" s="138" t="s">
        <v>37</v>
      </c>
      <c r="AH21" s="138" t="s">
        <v>37</v>
      </c>
      <c r="AI21" s="139">
        <v>0</v>
      </c>
      <c r="AJ21" s="136">
        <v>0</v>
      </c>
      <c r="AL21" s="313">
        <v>33</v>
      </c>
      <c r="AM21" s="317" t="s">
        <v>814</v>
      </c>
      <c r="AN21" s="127" t="s">
        <v>105</v>
      </c>
      <c r="AO21" s="138" t="s">
        <v>815</v>
      </c>
      <c r="AP21" s="136">
        <v>609</v>
      </c>
      <c r="AQ21" s="138" t="s">
        <v>780</v>
      </c>
    </row>
    <row r="22" spans="3:43" ht="12.75" customHeight="1">
      <c r="C22" s="55" t="s">
        <v>79</v>
      </c>
      <c r="D22" s="55" t="s">
        <v>103</v>
      </c>
      <c r="E22" t="s">
        <v>144</v>
      </c>
      <c r="G22" t="s">
        <v>165</v>
      </c>
      <c r="H22" s="124" t="s">
        <v>213</v>
      </c>
      <c r="I22" s="124" t="s">
        <v>360</v>
      </c>
      <c r="M22" s="134">
        <v>30</v>
      </c>
      <c r="N22" s="135" t="s">
        <v>80</v>
      </c>
      <c r="O22" s="135" t="s">
        <v>106</v>
      </c>
      <c r="P22" s="136">
        <v>1000</v>
      </c>
      <c r="Q22" s="137">
        <v>0</v>
      </c>
      <c r="R22" s="136">
        <v>277.777777</v>
      </c>
      <c r="S22" s="136">
        <v>948055.52</v>
      </c>
      <c r="T22" s="138" t="s">
        <v>37</v>
      </c>
      <c r="U22" s="138" t="s">
        <v>37</v>
      </c>
      <c r="V22" s="135" t="s">
        <v>37</v>
      </c>
      <c r="W22" s="136" t="s">
        <v>37</v>
      </c>
      <c r="X22" s="136" t="s">
        <v>37</v>
      </c>
      <c r="Y22" s="136" t="s">
        <v>37</v>
      </c>
      <c r="Z22" s="137" t="s">
        <v>37</v>
      </c>
      <c r="AA22" s="138" t="s">
        <v>37</v>
      </c>
      <c r="AB22" s="137">
        <v>0</v>
      </c>
      <c r="AC22" s="138" t="s">
        <v>37</v>
      </c>
      <c r="AD22" s="138" t="s">
        <v>37</v>
      </c>
      <c r="AE22" s="138" t="s">
        <v>37</v>
      </c>
      <c r="AF22" s="138" t="s">
        <v>37</v>
      </c>
      <c r="AG22" s="138" t="s">
        <v>37</v>
      </c>
      <c r="AH22" s="138" t="s">
        <v>37</v>
      </c>
      <c r="AI22" s="139">
        <v>0</v>
      </c>
      <c r="AJ22" s="136">
        <v>0</v>
      </c>
      <c r="AL22" s="313">
        <v>34</v>
      </c>
      <c r="AM22" s="317" t="s">
        <v>816</v>
      </c>
      <c r="AN22" s="127" t="s">
        <v>105</v>
      </c>
      <c r="AO22" s="138" t="s">
        <v>817</v>
      </c>
      <c r="AP22" s="136">
        <v>725</v>
      </c>
      <c r="AQ22" s="138" t="s">
        <v>780</v>
      </c>
    </row>
    <row r="23" spans="3:43" ht="12.75" customHeight="1">
      <c r="C23" s="55" t="s">
        <v>80</v>
      </c>
      <c r="D23" s="55" t="s">
        <v>106</v>
      </c>
      <c r="E23" t="s">
        <v>143</v>
      </c>
      <c r="G23" t="s">
        <v>166</v>
      </c>
      <c r="H23" s="124" t="s">
        <v>214</v>
      </c>
      <c r="I23" s="124" t="s">
        <v>361</v>
      </c>
      <c r="M23" s="134">
        <v>31</v>
      </c>
      <c r="N23" s="135" t="s">
        <v>81</v>
      </c>
      <c r="O23" s="135" t="s">
        <v>107</v>
      </c>
      <c r="P23" s="136">
        <v>1.0547902</v>
      </c>
      <c r="Q23" s="137">
        <v>0</v>
      </c>
      <c r="R23" s="136">
        <v>0.2929973</v>
      </c>
      <c r="S23" s="136">
        <v>1000</v>
      </c>
      <c r="T23" s="138" t="s">
        <v>37</v>
      </c>
      <c r="U23" s="138" t="s">
        <v>37</v>
      </c>
      <c r="V23" s="135" t="s">
        <v>37</v>
      </c>
      <c r="W23" s="136" t="s">
        <v>37</v>
      </c>
      <c r="X23" s="136" t="s">
        <v>37</v>
      </c>
      <c r="Y23" s="136" t="s">
        <v>37</v>
      </c>
      <c r="Z23" s="137" t="s">
        <v>37</v>
      </c>
      <c r="AA23" s="138" t="s">
        <v>37</v>
      </c>
      <c r="AB23" s="137">
        <v>0</v>
      </c>
      <c r="AC23" s="138" t="s">
        <v>37</v>
      </c>
      <c r="AD23" s="138" t="s">
        <v>37</v>
      </c>
      <c r="AE23" s="138" t="s">
        <v>37</v>
      </c>
      <c r="AF23" s="138" t="s">
        <v>37</v>
      </c>
      <c r="AG23" s="138" t="s">
        <v>37</v>
      </c>
      <c r="AH23" s="138" t="s">
        <v>37</v>
      </c>
      <c r="AI23" s="139">
        <v>0</v>
      </c>
      <c r="AJ23" s="136">
        <v>0</v>
      </c>
      <c r="AL23" s="313">
        <v>35</v>
      </c>
      <c r="AM23" s="317" t="s">
        <v>818</v>
      </c>
      <c r="AN23" s="127" t="s">
        <v>105</v>
      </c>
      <c r="AO23" s="138" t="s">
        <v>819</v>
      </c>
      <c r="AP23" s="136">
        <v>2310</v>
      </c>
      <c r="AQ23" s="138" t="s">
        <v>780</v>
      </c>
    </row>
    <row r="24" spans="3:43" ht="12.75" customHeight="1">
      <c r="C24" s="55" t="s">
        <v>81</v>
      </c>
      <c r="D24" s="55" t="s">
        <v>107</v>
      </c>
      <c r="M24" s="134">
        <v>36</v>
      </c>
      <c r="N24" s="135" t="s">
        <v>82</v>
      </c>
      <c r="O24" s="135" t="s">
        <v>105</v>
      </c>
      <c r="P24" s="136">
        <v>14.77</v>
      </c>
      <c r="Q24" s="137">
        <v>35.966</v>
      </c>
      <c r="R24" s="136">
        <v>4.1</v>
      </c>
      <c r="S24" s="136">
        <v>14002.74</v>
      </c>
      <c r="T24" s="138" t="s">
        <v>423</v>
      </c>
      <c r="U24" s="138" t="s">
        <v>37</v>
      </c>
      <c r="V24" s="135">
        <v>1</v>
      </c>
      <c r="W24" s="136">
        <v>1799</v>
      </c>
      <c r="X24" s="136">
        <v>0.576</v>
      </c>
      <c r="Y24" s="136">
        <v>0.077</v>
      </c>
      <c r="Z24" s="137">
        <v>1834.97</v>
      </c>
      <c r="AA24" s="138" t="s">
        <v>37</v>
      </c>
      <c r="AB24" s="137">
        <v>2</v>
      </c>
      <c r="AC24" s="138" t="s">
        <v>507</v>
      </c>
      <c r="AD24" s="138" t="s">
        <v>508</v>
      </c>
      <c r="AE24" s="138" t="s">
        <v>509</v>
      </c>
      <c r="AF24" s="138" t="s">
        <v>502</v>
      </c>
      <c r="AG24" s="138" t="s">
        <v>503</v>
      </c>
      <c r="AH24" s="138" t="s">
        <v>504</v>
      </c>
      <c r="AI24" s="139">
        <v>0</v>
      </c>
      <c r="AJ24" s="136">
        <v>0</v>
      </c>
      <c r="AL24" s="313">
        <v>36</v>
      </c>
      <c r="AM24" s="317" t="s">
        <v>820</v>
      </c>
      <c r="AN24" s="127" t="s">
        <v>105</v>
      </c>
      <c r="AO24" s="138" t="s">
        <v>821</v>
      </c>
      <c r="AP24" s="136">
        <v>122</v>
      </c>
      <c r="AQ24" s="138" t="s">
        <v>780</v>
      </c>
    </row>
    <row r="25" spans="3:43" ht="12.75" customHeight="1">
      <c r="C25" s="55" t="s">
        <v>82</v>
      </c>
      <c r="D25" s="55" t="s">
        <v>105</v>
      </c>
      <c r="M25">
        <v>59</v>
      </c>
      <c r="N25" t="s">
        <v>83</v>
      </c>
      <c r="O25" t="s">
        <v>105</v>
      </c>
      <c r="P25" s="127">
        <v>20</v>
      </c>
      <c r="Q25" s="127">
        <v>35.966</v>
      </c>
      <c r="R25" s="127">
        <v>5.5555555</v>
      </c>
      <c r="S25" s="127">
        <v>18960.9555555</v>
      </c>
      <c r="T25" s="127" t="s">
        <v>431</v>
      </c>
      <c r="U25" s="127"/>
      <c r="V25">
        <v>1</v>
      </c>
      <c r="W25" s="127">
        <v>1799</v>
      </c>
      <c r="X25" s="127">
        <v>0.576</v>
      </c>
      <c r="Y25" s="127">
        <v>0.077</v>
      </c>
      <c r="Z25" s="127">
        <v>1834.97</v>
      </c>
      <c r="AA25" s="127"/>
      <c r="AB25" s="127">
        <v>2</v>
      </c>
      <c r="AC25" s="127"/>
      <c r="AD25" s="127"/>
      <c r="AE25" s="127"/>
      <c r="AF25" s="127"/>
      <c r="AG25" s="127"/>
      <c r="AH25" s="127"/>
      <c r="AI25" s="127">
        <v>0</v>
      </c>
      <c r="AJ25" s="127">
        <v>0</v>
      </c>
      <c r="AL25" s="313">
        <v>37</v>
      </c>
      <c r="AM25" s="317" t="s">
        <v>822</v>
      </c>
      <c r="AN25" s="127" t="s">
        <v>105</v>
      </c>
      <c r="AO25" s="138" t="s">
        <v>823</v>
      </c>
      <c r="AP25" s="136">
        <v>595</v>
      </c>
      <c r="AQ25" s="138" t="s">
        <v>780</v>
      </c>
    </row>
    <row r="26" spans="3:43" ht="12.75" customHeight="1">
      <c r="C26" s="55" t="s">
        <v>83</v>
      </c>
      <c r="D26" s="55" t="s">
        <v>105</v>
      </c>
      <c r="M26" s="134">
        <v>37</v>
      </c>
      <c r="N26" s="135" t="s">
        <v>84</v>
      </c>
      <c r="O26" s="135" t="s">
        <v>104</v>
      </c>
      <c r="P26" s="136">
        <v>43.24</v>
      </c>
      <c r="Q26" s="137">
        <v>2146.88</v>
      </c>
      <c r="R26" s="136">
        <v>12.01</v>
      </c>
      <c r="S26" s="136">
        <v>40993.92</v>
      </c>
      <c r="T26" s="138" t="s">
        <v>423</v>
      </c>
      <c r="U26" s="138" t="s">
        <v>37</v>
      </c>
      <c r="V26" s="135" t="s">
        <v>37</v>
      </c>
      <c r="W26" s="136">
        <v>2140</v>
      </c>
      <c r="X26" s="136">
        <v>0</v>
      </c>
      <c r="Y26" s="136">
        <v>0.0222</v>
      </c>
      <c r="Z26" s="137">
        <v>2146.88</v>
      </c>
      <c r="AA26" s="138" t="s">
        <v>37</v>
      </c>
      <c r="AB26" s="137">
        <v>1</v>
      </c>
      <c r="AC26" s="138" t="s">
        <v>37</v>
      </c>
      <c r="AD26" s="138" t="s">
        <v>37</v>
      </c>
      <c r="AE26" s="138" t="s">
        <v>37</v>
      </c>
      <c r="AF26" s="138" t="s">
        <v>479</v>
      </c>
      <c r="AG26" s="138" t="s">
        <v>480</v>
      </c>
      <c r="AH26" s="138" t="s">
        <v>481</v>
      </c>
      <c r="AI26" s="139">
        <v>0.188</v>
      </c>
      <c r="AJ26" s="136">
        <v>329.001316</v>
      </c>
      <c r="AL26" s="313">
        <v>24</v>
      </c>
      <c r="AM26" s="317" t="s">
        <v>824</v>
      </c>
      <c r="AN26" s="127" t="s">
        <v>105</v>
      </c>
      <c r="AO26" s="138" t="s">
        <v>825</v>
      </c>
      <c r="AP26" s="136">
        <v>23900</v>
      </c>
      <c r="AQ26" s="138" t="s">
        <v>423</v>
      </c>
    </row>
    <row r="27" spans="3:43" ht="12.75" customHeight="1">
      <c r="C27" s="55" t="s">
        <v>84</v>
      </c>
      <c r="D27" s="55" t="s">
        <v>104</v>
      </c>
      <c r="M27" s="134">
        <v>39</v>
      </c>
      <c r="N27" s="135" t="s">
        <v>85</v>
      </c>
      <c r="O27" s="135" t="s">
        <v>105</v>
      </c>
      <c r="P27" s="136">
        <v>16.72</v>
      </c>
      <c r="Q27" s="137">
        <v>714.9472</v>
      </c>
      <c r="R27" s="136">
        <v>4.644444</v>
      </c>
      <c r="S27" s="136">
        <v>15851.48889</v>
      </c>
      <c r="T27" s="138" t="s">
        <v>432</v>
      </c>
      <c r="U27" s="138" t="s">
        <v>37</v>
      </c>
      <c r="V27" s="135" t="s">
        <v>37</v>
      </c>
      <c r="W27" s="136">
        <v>715.9472</v>
      </c>
      <c r="X27" s="136">
        <v>0</v>
      </c>
      <c r="Y27" s="136">
        <v>0</v>
      </c>
      <c r="Z27" s="137">
        <v>714.9472</v>
      </c>
      <c r="AA27" s="138" t="s">
        <v>37</v>
      </c>
      <c r="AB27" s="137">
        <v>1</v>
      </c>
      <c r="AC27" s="138" t="s">
        <v>37</v>
      </c>
      <c r="AD27" s="138" t="s">
        <v>37</v>
      </c>
      <c r="AE27" s="138" t="s">
        <v>37</v>
      </c>
      <c r="AF27" s="138" t="s">
        <v>510</v>
      </c>
      <c r="AG27" s="138" t="s">
        <v>37</v>
      </c>
      <c r="AH27" s="138" t="s">
        <v>37</v>
      </c>
      <c r="AI27" s="139">
        <v>0</v>
      </c>
      <c r="AJ27" s="136">
        <v>0</v>
      </c>
      <c r="AL27" s="313">
        <v>8</v>
      </c>
      <c r="AM27" s="317" t="s">
        <v>826</v>
      </c>
      <c r="AN27" s="127" t="s">
        <v>105</v>
      </c>
      <c r="AO27" s="138" t="s">
        <v>827</v>
      </c>
      <c r="AP27" s="136">
        <v>2800</v>
      </c>
      <c r="AQ27" s="138" t="s">
        <v>423</v>
      </c>
    </row>
    <row r="28" spans="3:43" ht="12.75" customHeight="1">
      <c r="C28" s="55" t="s">
        <v>85</v>
      </c>
      <c r="D28" s="55" t="s">
        <v>105</v>
      </c>
      <c r="G28" s="59"/>
      <c r="H28" s="59"/>
      <c r="I28" s="59"/>
      <c r="M28" s="134">
        <v>40</v>
      </c>
      <c r="N28" s="135" t="s">
        <v>86</v>
      </c>
      <c r="O28" s="135" t="s">
        <v>36</v>
      </c>
      <c r="P28" s="136">
        <v>39.16</v>
      </c>
      <c r="Q28" s="137">
        <v>2422.36</v>
      </c>
      <c r="R28" s="136">
        <v>10.877777777777776</v>
      </c>
      <c r="S28" s="136">
        <v>37125.85555555555</v>
      </c>
      <c r="T28" s="138" t="s">
        <v>423</v>
      </c>
      <c r="U28" s="138" t="s">
        <v>37</v>
      </c>
      <c r="V28" s="135" t="s">
        <v>37</v>
      </c>
      <c r="W28" s="136">
        <v>2400</v>
      </c>
      <c r="X28" s="136">
        <v>0.12</v>
      </c>
      <c r="Y28" s="136">
        <v>0.064</v>
      </c>
      <c r="Z28" s="137">
        <v>2422.36</v>
      </c>
      <c r="AA28" s="138" t="s">
        <v>37</v>
      </c>
      <c r="AB28" s="137">
        <v>1</v>
      </c>
      <c r="AC28" s="138" t="s">
        <v>37</v>
      </c>
      <c r="AD28" s="138" t="s">
        <v>37</v>
      </c>
      <c r="AE28" s="138" t="s">
        <v>37</v>
      </c>
      <c r="AF28" s="138" t="s">
        <v>37</v>
      </c>
      <c r="AG28" s="138" t="s">
        <v>37</v>
      </c>
      <c r="AH28" s="138" t="s">
        <v>37</v>
      </c>
      <c r="AI28" s="139">
        <v>0</v>
      </c>
      <c r="AJ28" s="136">
        <v>0</v>
      </c>
      <c r="AL28" s="313">
        <v>9</v>
      </c>
      <c r="AM28" s="317" t="s">
        <v>828</v>
      </c>
      <c r="AN28" s="127" t="s">
        <v>105</v>
      </c>
      <c r="AO28" s="138" t="s">
        <v>829</v>
      </c>
      <c r="AP28" s="136">
        <v>1000</v>
      </c>
      <c r="AQ28" s="138" t="s">
        <v>423</v>
      </c>
    </row>
    <row r="29" spans="3:43" ht="12.75" customHeight="1">
      <c r="C29" s="55" t="s">
        <v>86</v>
      </c>
      <c r="D29" s="55" t="s">
        <v>36</v>
      </c>
      <c r="G29" s="59"/>
      <c r="H29" s="59"/>
      <c r="I29" s="59"/>
      <c r="M29" s="134">
        <v>41</v>
      </c>
      <c r="N29" s="135" t="s">
        <v>433</v>
      </c>
      <c r="O29" s="135" t="s">
        <v>36</v>
      </c>
      <c r="P29" s="136">
        <v>38.78</v>
      </c>
      <c r="Q29" s="137">
        <v>2652.7360000000003</v>
      </c>
      <c r="R29" s="136">
        <v>10.772222222222222</v>
      </c>
      <c r="S29" s="136">
        <v>36765.59444444445</v>
      </c>
      <c r="T29" s="138" t="s">
        <v>434</v>
      </c>
      <c r="U29" s="138" t="s">
        <v>37</v>
      </c>
      <c r="V29" s="135" t="s">
        <v>37</v>
      </c>
      <c r="W29" s="136">
        <v>2643</v>
      </c>
      <c r="X29" s="136">
        <v>0.006</v>
      </c>
      <c r="Y29" s="136">
        <v>0.031</v>
      </c>
      <c r="Z29" s="137">
        <v>2652.7360000000003</v>
      </c>
      <c r="AA29" s="138" t="s">
        <v>37</v>
      </c>
      <c r="AB29" s="137">
        <v>1</v>
      </c>
      <c r="AC29" s="138" t="s">
        <v>37</v>
      </c>
      <c r="AD29" s="138" t="s">
        <v>37</v>
      </c>
      <c r="AE29" s="138" t="s">
        <v>37</v>
      </c>
      <c r="AF29" s="138" t="s">
        <v>37</v>
      </c>
      <c r="AG29" s="138" t="s">
        <v>37</v>
      </c>
      <c r="AH29" s="138" t="s">
        <v>37</v>
      </c>
      <c r="AI29" s="139">
        <v>0.107</v>
      </c>
      <c r="AJ29" s="136">
        <v>283.842752</v>
      </c>
      <c r="AL29" s="313">
        <v>11</v>
      </c>
      <c r="AM29" s="317" t="s">
        <v>830</v>
      </c>
      <c r="AN29" s="127" t="s">
        <v>105</v>
      </c>
      <c r="AO29" s="138" t="s">
        <v>831</v>
      </c>
      <c r="AP29" s="136">
        <v>300</v>
      </c>
      <c r="AQ29" s="138" t="s">
        <v>423</v>
      </c>
    </row>
    <row r="30" spans="3:43" ht="12.75" customHeight="1">
      <c r="C30" s="55" t="s">
        <v>87</v>
      </c>
      <c r="D30" s="55" t="s">
        <v>36</v>
      </c>
      <c r="G30" s="59"/>
      <c r="H30" s="59"/>
      <c r="I30" s="59"/>
      <c r="M30" s="134">
        <v>45</v>
      </c>
      <c r="N30" s="135" t="s">
        <v>88</v>
      </c>
      <c r="O30" s="135" t="s">
        <v>36</v>
      </c>
      <c r="P30" s="136">
        <v>40.57</v>
      </c>
      <c r="Q30" s="137">
        <v>3503.681</v>
      </c>
      <c r="R30" s="136">
        <v>11.269444444444444</v>
      </c>
      <c r="S30" s="136">
        <v>38462.61388888889</v>
      </c>
      <c r="T30" s="138" t="s">
        <v>423</v>
      </c>
      <c r="U30" s="138" t="s">
        <v>37</v>
      </c>
      <c r="V30" s="135" t="s">
        <v>37</v>
      </c>
      <c r="W30" s="136">
        <v>3494</v>
      </c>
      <c r="X30" s="136">
        <v>0.12</v>
      </c>
      <c r="Y30" s="136">
        <v>0.0231</v>
      </c>
      <c r="Z30" s="137">
        <v>3503.681</v>
      </c>
      <c r="AA30" s="138" t="s">
        <v>37</v>
      </c>
      <c r="AB30" s="137">
        <v>1</v>
      </c>
      <c r="AC30" s="138" t="s">
        <v>37</v>
      </c>
      <c r="AD30" s="138" t="s">
        <v>37</v>
      </c>
      <c r="AE30" s="138" t="s">
        <v>37</v>
      </c>
      <c r="AF30" s="138" t="s">
        <v>37</v>
      </c>
      <c r="AG30" s="138" t="s">
        <v>37</v>
      </c>
      <c r="AH30" s="138" t="s">
        <v>37</v>
      </c>
      <c r="AI30" s="139">
        <v>0.08</v>
      </c>
      <c r="AJ30" s="136">
        <v>280.29448</v>
      </c>
      <c r="AL30" s="313">
        <v>12</v>
      </c>
      <c r="AM30" s="317" t="s">
        <v>832</v>
      </c>
      <c r="AN30" s="127" t="s">
        <v>105</v>
      </c>
      <c r="AO30" s="138" t="s">
        <v>831</v>
      </c>
      <c r="AP30" s="136">
        <v>3800</v>
      </c>
      <c r="AQ30" s="138" t="s">
        <v>423</v>
      </c>
    </row>
    <row r="31" spans="3:43" ht="12.75" customHeight="1">
      <c r="C31" s="55" t="s">
        <v>88</v>
      </c>
      <c r="D31" s="55" t="s">
        <v>36</v>
      </c>
      <c r="G31" s="59"/>
      <c r="H31" s="59"/>
      <c r="I31" s="59"/>
      <c r="M31" s="134">
        <v>46</v>
      </c>
      <c r="N31" s="135" t="s">
        <v>89</v>
      </c>
      <c r="O31" s="135" t="s">
        <v>36</v>
      </c>
      <c r="P31" s="136">
        <v>23.41</v>
      </c>
      <c r="Q31" s="137">
        <v>1519</v>
      </c>
      <c r="R31" s="136">
        <v>6.502777777777777</v>
      </c>
      <c r="S31" s="136">
        <v>22193.980555555554</v>
      </c>
      <c r="T31" s="138" t="s">
        <v>423</v>
      </c>
      <c r="U31" s="138" t="s">
        <v>37</v>
      </c>
      <c r="V31" s="135" t="s">
        <v>37</v>
      </c>
      <c r="W31" s="136">
        <v>1519</v>
      </c>
      <c r="X31" s="136">
        <v>0</v>
      </c>
      <c r="Y31" s="136">
        <v>0</v>
      </c>
      <c r="Z31" s="137">
        <v>1519</v>
      </c>
      <c r="AA31" s="138" t="s">
        <v>37</v>
      </c>
      <c r="AB31" s="137">
        <v>2</v>
      </c>
      <c r="AC31" s="138" t="s">
        <v>37</v>
      </c>
      <c r="AD31" s="138" t="s">
        <v>37</v>
      </c>
      <c r="AE31" s="138" t="s">
        <v>37</v>
      </c>
      <c r="AF31" s="138" t="s">
        <v>37</v>
      </c>
      <c r="AG31" s="138" t="s">
        <v>37</v>
      </c>
      <c r="AH31" s="138" t="s">
        <v>37</v>
      </c>
      <c r="AI31" s="139">
        <v>0</v>
      </c>
      <c r="AJ31" s="136">
        <v>0</v>
      </c>
      <c r="AL31" s="313">
        <v>13</v>
      </c>
      <c r="AM31" s="317" t="s">
        <v>833</v>
      </c>
      <c r="AN31" s="127" t="s">
        <v>105</v>
      </c>
      <c r="AO31" s="138" t="s">
        <v>834</v>
      </c>
      <c r="AP31" s="136">
        <v>140</v>
      </c>
      <c r="AQ31" s="138" t="s">
        <v>423</v>
      </c>
    </row>
    <row r="32" spans="3:43" ht="12.75" customHeight="1">
      <c r="C32" s="55" t="s">
        <v>89</v>
      </c>
      <c r="D32" s="55" t="s">
        <v>36</v>
      </c>
      <c r="G32" s="59"/>
      <c r="H32" s="59"/>
      <c r="I32" s="59"/>
      <c r="M32" s="134">
        <v>47</v>
      </c>
      <c r="N32" s="135" t="s">
        <v>90</v>
      </c>
      <c r="O32" s="135" t="s">
        <v>36</v>
      </c>
      <c r="P32" s="136">
        <v>35.67</v>
      </c>
      <c r="Q32" s="137">
        <v>0</v>
      </c>
      <c r="R32" s="136">
        <v>9.908333333333333</v>
      </c>
      <c r="S32" s="136">
        <v>33817.14166666666</v>
      </c>
      <c r="T32" s="138" t="s">
        <v>423</v>
      </c>
      <c r="U32" s="138" t="s">
        <v>37</v>
      </c>
      <c r="V32" s="135" t="s">
        <v>37</v>
      </c>
      <c r="W32" s="136">
        <v>2497</v>
      </c>
      <c r="X32" s="136">
        <v>0</v>
      </c>
      <c r="Y32" s="136">
        <v>0</v>
      </c>
      <c r="Z32" s="137">
        <v>2497</v>
      </c>
      <c r="AA32" s="138" t="s">
        <v>37</v>
      </c>
      <c r="AB32" s="137">
        <v>2</v>
      </c>
      <c r="AC32" s="138" t="s">
        <v>37</v>
      </c>
      <c r="AD32" s="138" t="s">
        <v>37</v>
      </c>
      <c r="AE32" s="138" t="s">
        <v>37</v>
      </c>
      <c r="AF32" s="138" t="s">
        <v>37</v>
      </c>
      <c r="AG32" s="138" t="s">
        <v>37</v>
      </c>
      <c r="AH32" s="138" t="s">
        <v>37</v>
      </c>
      <c r="AI32" s="139">
        <v>0</v>
      </c>
      <c r="AJ32" s="136">
        <v>0</v>
      </c>
      <c r="AL32" s="313">
        <v>77</v>
      </c>
      <c r="AM32" s="317" t="s">
        <v>835</v>
      </c>
      <c r="AN32" s="127" t="s">
        <v>105</v>
      </c>
      <c r="AO32" s="138" t="s">
        <v>836</v>
      </c>
      <c r="AP32" s="136">
        <v>12</v>
      </c>
      <c r="AQ32" s="138" t="s">
        <v>423</v>
      </c>
    </row>
    <row r="33" spans="3:43" ht="12.75" customHeight="1">
      <c r="C33" s="55" t="s">
        <v>90</v>
      </c>
      <c r="D33" s="55" t="s">
        <v>36</v>
      </c>
      <c r="G33" s="59"/>
      <c r="H33" s="59"/>
      <c r="I33" s="59"/>
      <c r="M33" s="134">
        <v>48</v>
      </c>
      <c r="N33" s="135" t="s">
        <v>91</v>
      </c>
      <c r="O33" s="135" t="s">
        <v>36</v>
      </c>
      <c r="P33" s="136">
        <v>34.84</v>
      </c>
      <c r="Q33" s="137">
        <v>0</v>
      </c>
      <c r="R33" s="136">
        <v>9.677777777777779</v>
      </c>
      <c r="S33" s="136">
        <v>33030.25555555556</v>
      </c>
      <c r="T33" s="138" t="s">
        <v>423</v>
      </c>
      <c r="U33" s="138" t="s">
        <v>37</v>
      </c>
      <c r="V33" s="135" t="s">
        <v>37</v>
      </c>
      <c r="W33" s="136">
        <v>2348</v>
      </c>
      <c r="X33" s="136">
        <v>0</v>
      </c>
      <c r="Y33" s="136">
        <v>0</v>
      </c>
      <c r="Z33" s="137">
        <v>2348</v>
      </c>
      <c r="AA33" s="138" t="s">
        <v>37</v>
      </c>
      <c r="AB33" s="137">
        <v>2</v>
      </c>
      <c r="AC33" s="138" t="s">
        <v>37</v>
      </c>
      <c r="AD33" s="138" t="s">
        <v>37</v>
      </c>
      <c r="AE33" s="138" t="s">
        <v>37</v>
      </c>
      <c r="AF33" s="138" t="s">
        <v>37</v>
      </c>
      <c r="AG33" s="138" t="s">
        <v>37</v>
      </c>
      <c r="AH33" s="138" t="s">
        <v>37</v>
      </c>
      <c r="AI33" s="139">
        <v>0</v>
      </c>
      <c r="AJ33" s="136">
        <v>0</v>
      </c>
      <c r="AL33" s="313">
        <v>14</v>
      </c>
      <c r="AM33" s="317" t="s">
        <v>837</v>
      </c>
      <c r="AN33" s="127" t="s">
        <v>105</v>
      </c>
      <c r="AO33" s="138" t="s">
        <v>838</v>
      </c>
      <c r="AP33" s="136">
        <v>2900</v>
      </c>
      <c r="AQ33" s="138" t="s">
        <v>423</v>
      </c>
    </row>
    <row r="34" spans="3:43" ht="12.75" customHeight="1">
      <c r="C34" s="55" t="s">
        <v>91</v>
      </c>
      <c r="D34" s="55" t="s">
        <v>36</v>
      </c>
      <c r="G34" s="59"/>
      <c r="H34" s="59"/>
      <c r="I34" s="59"/>
      <c r="M34" s="134">
        <v>49</v>
      </c>
      <c r="N34" s="135" t="s">
        <v>92</v>
      </c>
      <c r="O34" s="135" t="s">
        <v>36</v>
      </c>
      <c r="P34" s="136">
        <v>33.44</v>
      </c>
      <c r="Q34" s="137">
        <v>0</v>
      </c>
      <c r="R34" s="136">
        <v>9.288888888888888</v>
      </c>
      <c r="S34" s="136">
        <v>31702.977777777774</v>
      </c>
      <c r="T34" s="138" t="s">
        <v>423</v>
      </c>
      <c r="U34" s="138" t="s">
        <v>37</v>
      </c>
      <c r="V34" s="135" t="s">
        <v>37</v>
      </c>
      <c r="W34" s="136">
        <v>2585</v>
      </c>
      <c r="X34" s="136">
        <v>0</v>
      </c>
      <c r="Y34" s="136">
        <v>0</v>
      </c>
      <c r="Z34" s="137">
        <v>2585</v>
      </c>
      <c r="AA34" s="138" t="s">
        <v>37</v>
      </c>
      <c r="AB34" s="137">
        <v>2</v>
      </c>
      <c r="AC34" s="138" t="s">
        <v>37</v>
      </c>
      <c r="AD34" s="138" t="s">
        <v>37</v>
      </c>
      <c r="AE34" s="138" t="s">
        <v>37</v>
      </c>
      <c r="AF34" s="138" t="s">
        <v>37</v>
      </c>
      <c r="AG34" s="138" t="s">
        <v>37</v>
      </c>
      <c r="AH34" s="138" t="s">
        <v>37</v>
      </c>
      <c r="AI34" s="139">
        <v>0</v>
      </c>
      <c r="AJ34" s="136">
        <v>0</v>
      </c>
      <c r="AL34" s="313">
        <v>4</v>
      </c>
      <c r="AM34" s="317" t="s">
        <v>839</v>
      </c>
      <c r="AN34" s="127" t="s">
        <v>105</v>
      </c>
      <c r="AO34" s="138" t="s">
        <v>840</v>
      </c>
      <c r="AP34" s="136">
        <v>11700</v>
      </c>
      <c r="AQ34" s="138" t="s">
        <v>423</v>
      </c>
    </row>
    <row r="35" spans="3:43" ht="12.75" customHeight="1">
      <c r="C35" s="55" t="s">
        <v>92</v>
      </c>
      <c r="D35" s="55" t="s">
        <v>36</v>
      </c>
      <c r="G35" s="59"/>
      <c r="H35" s="59"/>
      <c r="I35" s="59"/>
      <c r="M35" s="134">
        <v>50</v>
      </c>
      <c r="N35" s="135" t="s">
        <v>93</v>
      </c>
      <c r="O35" s="135" t="s">
        <v>105</v>
      </c>
      <c r="P35" s="136">
        <v>29.82</v>
      </c>
      <c r="Q35" s="137">
        <v>2346.83</v>
      </c>
      <c r="R35" s="136">
        <v>8.283333333333333</v>
      </c>
      <c r="S35" s="136">
        <v>28271.016666666666</v>
      </c>
      <c r="T35" s="138" t="s">
        <v>435</v>
      </c>
      <c r="U35" s="138" t="s">
        <v>37</v>
      </c>
      <c r="V35" s="135" t="s">
        <v>37</v>
      </c>
      <c r="W35" s="136">
        <v>2340</v>
      </c>
      <c r="X35" s="136">
        <v>0.03</v>
      </c>
      <c r="Y35" s="136">
        <v>0.02</v>
      </c>
      <c r="Z35" s="137">
        <v>2346.83</v>
      </c>
      <c r="AA35" s="138" t="s">
        <v>37</v>
      </c>
      <c r="AB35" s="137">
        <v>1</v>
      </c>
      <c r="AC35" s="138" t="s">
        <v>37</v>
      </c>
      <c r="AD35" s="138" t="s">
        <v>37</v>
      </c>
      <c r="AE35" s="138" t="s">
        <v>37</v>
      </c>
      <c r="AF35" s="138" t="s">
        <v>37</v>
      </c>
      <c r="AG35" s="138" t="s">
        <v>37</v>
      </c>
      <c r="AH35" s="138" t="s">
        <v>37</v>
      </c>
      <c r="AI35" s="139">
        <v>0.08</v>
      </c>
      <c r="AJ35" s="136">
        <v>187.7464</v>
      </c>
      <c r="AL35" s="313">
        <v>78</v>
      </c>
      <c r="AM35" s="317" t="s">
        <v>841</v>
      </c>
      <c r="AN35" s="127" t="s">
        <v>105</v>
      </c>
      <c r="AO35" s="138" t="s">
        <v>842</v>
      </c>
      <c r="AP35" s="136">
        <v>1300</v>
      </c>
      <c r="AQ35" s="138" t="s">
        <v>423</v>
      </c>
    </row>
    <row r="36" spans="3:43" ht="12.75" customHeight="1">
      <c r="C36" s="55" t="s">
        <v>93</v>
      </c>
      <c r="D36" s="55" t="s">
        <v>105</v>
      </c>
      <c r="M36" s="134">
        <v>51</v>
      </c>
      <c r="N36" s="135" t="s">
        <v>436</v>
      </c>
      <c r="O36" s="135" t="s">
        <v>105</v>
      </c>
      <c r="P36" s="136">
        <v>11.57</v>
      </c>
      <c r="Q36" s="137">
        <v>21.6421</v>
      </c>
      <c r="R36" s="136">
        <v>3.213888888888889</v>
      </c>
      <c r="S36" s="136">
        <v>10969.002777777778</v>
      </c>
      <c r="T36" s="138" t="s">
        <v>437</v>
      </c>
      <c r="U36" s="138" t="s">
        <v>37</v>
      </c>
      <c r="V36" s="135" t="s">
        <v>37</v>
      </c>
      <c r="W36" s="136">
        <v>990.392</v>
      </c>
      <c r="X36" s="136">
        <v>0.3471</v>
      </c>
      <c r="Y36" s="136">
        <v>0.04628</v>
      </c>
      <c r="Z36" s="137">
        <v>1012.034</v>
      </c>
      <c r="AA36" s="138" t="s">
        <v>37</v>
      </c>
      <c r="AB36" s="137">
        <v>2</v>
      </c>
      <c r="AC36" s="138" t="s">
        <v>37</v>
      </c>
      <c r="AD36" s="138" t="s">
        <v>37</v>
      </c>
      <c r="AE36" s="138" t="s">
        <v>37</v>
      </c>
      <c r="AF36" s="138" t="s">
        <v>37</v>
      </c>
      <c r="AG36" s="138" t="s">
        <v>37</v>
      </c>
      <c r="AH36" s="138" t="s">
        <v>37</v>
      </c>
      <c r="AI36" s="139">
        <v>0</v>
      </c>
      <c r="AJ36" s="136">
        <v>0</v>
      </c>
      <c r="AL36" s="313">
        <v>79</v>
      </c>
      <c r="AM36" s="317" t="s">
        <v>843</v>
      </c>
      <c r="AN36" s="127" t="s">
        <v>105</v>
      </c>
      <c r="AO36" s="138" t="s">
        <v>842</v>
      </c>
      <c r="AP36" s="136">
        <v>1200</v>
      </c>
      <c r="AQ36" s="138" t="s">
        <v>423</v>
      </c>
    </row>
    <row r="37" spans="3:43" ht="12.75" customHeight="1">
      <c r="C37" s="55" t="s">
        <v>130</v>
      </c>
      <c r="D37" s="55" t="s">
        <v>105</v>
      </c>
      <c r="M37" s="134">
        <v>52</v>
      </c>
      <c r="N37" s="135" t="s">
        <v>94</v>
      </c>
      <c r="O37" s="135" t="s">
        <v>105</v>
      </c>
      <c r="P37" s="136">
        <v>9.3</v>
      </c>
      <c r="Q37" s="137">
        <v>4.5198</v>
      </c>
      <c r="R37" s="136">
        <v>2.5833333333333335</v>
      </c>
      <c r="S37" s="136">
        <v>8816.916666666668</v>
      </c>
      <c r="T37" s="138" t="s">
        <v>438</v>
      </c>
      <c r="U37" s="138" t="s">
        <v>37</v>
      </c>
      <c r="V37" s="135">
        <v>1</v>
      </c>
      <c r="W37" s="136">
        <v>957.9</v>
      </c>
      <c r="X37" s="136">
        <v>0.009</v>
      </c>
      <c r="Y37" s="136">
        <v>0.01395</v>
      </c>
      <c r="Z37" s="137">
        <v>962.4198</v>
      </c>
      <c r="AA37" s="138" t="s">
        <v>37</v>
      </c>
      <c r="AB37" s="137">
        <v>2</v>
      </c>
      <c r="AC37" s="138" t="s">
        <v>37</v>
      </c>
      <c r="AD37" s="138" t="s">
        <v>37</v>
      </c>
      <c r="AE37" s="138" t="s">
        <v>37</v>
      </c>
      <c r="AF37" s="138" t="s">
        <v>37</v>
      </c>
      <c r="AG37" s="138" t="s">
        <v>37</v>
      </c>
      <c r="AH37" s="138" t="s">
        <v>37</v>
      </c>
      <c r="AI37" s="139">
        <v>0</v>
      </c>
      <c r="AJ37" s="136">
        <v>0</v>
      </c>
      <c r="AL37" s="313">
        <v>15</v>
      </c>
      <c r="AM37" s="317" t="s">
        <v>844</v>
      </c>
      <c r="AN37" s="127" t="s">
        <v>105</v>
      </c>
      <c r="AO37" s="138" t="s">
        <v>842</v>
      </c>
      <c r="AP37" s="136">
        <v>6300</v>
      </c>
      <c r="AQ37" s="138" t="s">
        <v>423</v>
      </c>
    </row>
    <row r="38" spans="3:43" ht="12.75" customHeight="1">
      <c r="C38" s="55" t="s">
        <v>94</v>
      </c>
      <c r="D38" s="55" t="s">
        <v>105</v>
      </c>
      <c r="M38" s="134">
        <v>53</v>
      </c>
      <c r="N38" s="135" t="s">
        <v>95</v>
      </c>
      <c r="O38" s="135" t="s">
        <v>105</v>
      </c>
      <c r="P38" s="136">
        <v>31.18</v>
      </c>
      <c r="Q38" s="137">
        <v>2650</v>
      </c>
      <c r="R38" s="136">
        <v>8.661111111111111</v>
      </c>
      <c r="S38" s="136">
        <v>29560.372222222224</v>
      </c>
      <c r="T38" s="138" t="s">
        <v>423</v>
      </c>
      <c r="U38" s="138" t="s">
        <v>37</v>
      </c>
      <c r="V38" s="135" t="s">
        <v>37</v>
      </c>
      <c r="W38" s="136">
        <v>2650</v>
      </c>
      <c r="X38" s="136">
        <v>0</v>
      </c>
      <c r="Y38" s="136">
        <v>0</v>
      </c>
      <c r="Z38" s="137">
        <v>2650</v>
      </c>
      <c r="AA38" s="138" t="s">
        <v>37</v>
      </c>
      <c r="AB38" s="137">
        <v>1</v>
      </c>
      <c r="AC38" s="138" t="s">
        <v>37</v>
      </c>
      <c r="AD38" s="138" t="s">
        <v>37</v>
      </c>
      <c r="AE38" s="138" t="s">
        <v>37</v>
      </c>
      <c r="AF38" s="138" t="s">
        <v>37</v>
      </c>
      <c r="AG38" s="138" t="s">
        <v>37</v>
      </c>
      <c r="AH38" s="138" t="s">
        <v>37</v>
      </c>
      <c r="AI38" s="139">
        <v>0</v>
      </c>
      <c r="AJ38" s="136">
        <v>0</v>
      </c>
      <c r="AL38" s="313">
        <v>16</v>
      </c>
      <c r="AM38" s="317" t="s">
        <v>845</v>
      </c>
      <c r="AN38" s="127" t="s">
        <v>105</v>
      </c>
      <c r="AO38" s="138" t="s">
        <v>846</v>
      </c>
      <c r="AP38" s="136">
        <v>560</v>
      </c>
      <c r="AQ38" s="138" t="s">
        <v>423</v>
      </c>
    </row>
    <row r="39" spans="3:43" ht="12.75" customHeight="1">
      <c r="C39" s="55" t="s">
        <v>95</v>
      </c>
      <c r="D39" s="55" t="s">
        <v>105</v>
      </c>
      <c r="M39" s="134">
        <v>54</v>
      </c>
      <c r="N39" s="135" t="s">
        <v>96</v>
      </c>
      <c r="O39" s="135" t="s">
        <v>105</v>
      </c>
      <c r="P39" s="136">
        <v>9.59</v>
      </c>
      <c r="Q39" s="137">
        <v>0</v>
      </c>
      <c r="R39" s="136">
        <v>2.6638888888888888</v>
      </c>
      <c r="S39" s="136">
        <v>9091.852777777778</v>
      </c>
      <c r="T39" s="138" t="s">
        <v>423</v>
      </c>
      <c r="U39" s="138" t="s">
        <v>37</v>
      </c>
      <c r="V39" s="135">
        <v>1</v>
      </c>
      <c r="W39" s="136">
        <v>1074</v>
      </c>
      <c r="X39" s="136">
        <v>0</v>
      </c>
      <c r="Y39" s="136">
        <v>0</v>
      </c>
      <c r="Z39" s="137">
        <v>1074</v>
      </c>
      <c r="AA39" s="138" t="s">
        <v>37</v>
      </c>
      <c r="AB39" s="137">
        <v>2</v>
      </c>
      <c r="AC39" s="138" t="s">
        <v>37</v>
      </c>
      <c r="AD39" s="138" t="s">
        <v>37</v>
      </c>
      <c r="AE39" s="138" t="s">
        <v>37</v>
      </c>
      <c r="AF39" s="138" t="s">
        <v>37</v>
      </c>
      <c r="AG39" s="138" t="s">
        <v>37</v>
      </c>
      <c r="AH39" s="138" t="s">
        <v>37</v>
      </c>
      <c r="AI39" s="139">
        <v>0</v>
      </c>
      <c r="AJ39" s="136">
        <v>0</v>
      </c>
      <c r="AL39" s="313">
        <v>80</v>
      </c>
      <c r="AM39" s="317" t="s">
        <v>847</v>
      </c>
      <c r="AN39" s="127" t="s">
        <v>105</v>
      </c>
      <c r="AO39" s="138" t="s">
        <v>846</v>
      </c>
      <c r="AP39" s="136">
        <v>950</v>
      </c>
      <c r="AQ39" s="138" t="s">
        <v>423</v>
      </c>
    </row>
    <row r="40" spans="3:43" ht="12.75" customHeight="1">
      <c r="C40" s="55" t="s">
        <v>96</v>
      </c>
      <c r="D40" s="55" t="s">
        <v>105</v>
      </c>
      <c r="M40" s="134">
        <v>55</v>
      </c>
      <c r="N40" s="135" t="s">
        <v>97</v>
      </c>
      <c r="O40" s="135" t="s">
        <v>105</v>
      </c>
      <c r="P40" s="136">
        <v>30.03</v>
      </c>
      <c r="Q40" s="137">
        <v>0</v>
      </c>
      <c r="R40" s="136">
        <v>8.416666666666666</v>
      </c>
      <c r="S40" s="136">
        <v>28726.083333333332</v>
      </c>
      <c r="T40" s="138" t="s">
        <v>423</v>
      </c>
      <c r="U40" s="138" t="s">
        <v>37</v>
      </c>
      <c r="V40" s="135">
        <v>1</v>
      </c>
      <c r="W40" s="136">
        <v>3000</v>
      </c>
      <c r="X40" s="136">
        <v>0</v>
      </c>
      <c r="Y40" s="136">
        <v>0</v>
      </c>
      <c r="Z40" s="137">
        <v>3000</v>
      </c>
      <c r="AA40" s="138" t="s">
        <v>37</v>
      </c>
      <c r="AB40" s="137">
        <v>2</v>
      </c>
      <c r="AC40" s="138" t="s">
        <v>37</v>
      </c>
      <c r="AD40" s="138" t="s">
        <v>37</v>
      </c>
      <c r="AE40" s="138" t="s">
        <v>37</v>
      </c>
      <c r="AF40" s="138" t="s">
        <v>37</v>
      </c>
      <c r="AG40" s="138" t="s">
        <v>37</v>
      </c>
      <c r="AH40" s="138" t="s">
        <v>37</v>
      </c>
      <c r="AI40" s="139">
        <v>0</v>
      </c>
      <c r="AJ40" s="136">
        <v>0</v>
      </c>
      <c r="AL40" s="313">
        <v>118</v>
      </c>
      <c r="AM40" s="317" t="s">
        <v>847</v>
      </c>
      <c r="AN40" s="127" t="s">
        <v>105</v>
      </c>
      <c r="AO40" s="138" t="s">
        <v>848</v>
      </c>
      <c r="AP40" s="136">
        <v>0</v>
      </c>
      <c r="AQ40" s="138" t="s">
        <v>37</v>
      </c>
    </row>
    <row r="41" spans="3:43" ht="12.75" customHeight="1">
      <c r="C41" s="55" t="s">
        <v>97</v>
      </c>
      <c r="D41" s="55" t="s">
        <v>105</v>
      </c>
      <c r="M41" s="134">
        <v>56</v>
      </c>
      <c r="N41" s="135" t="s">
        <v>98</v>
      </c>
      <c r="O41" s="135" t="s">
        <v>104</v>
      </c>
      <c r="P41" s="136">
        <v>19.14</v>
      </c>
      <c r="Q41" s="137">
        <v>890.6270000000001</v>
      </c>
      <c r="R41" s="136">
        <v>5.316666666666666</v>
      </c>
      <c r="S41" s="136">
        <v>18145.783333333333</v>
      </c>
      <c r="T41" s="138" t="s">
        <v>423</v>
      </c>
      <c r="U41" s="138" t="s">
        <v>37</v>
      </c>
      <c r="V41" s="135" t="s">
        <v>37</v>
      </c>
      <c r="W41" s="136">
        <v>879</v>
      </c>
      <c r="X41" s="136">
        <v>0.037</v>
      </c>
      <c r="Y41" s="136">
        <v>0.035</v>
      </c>
      <c r="Z41" s="137">
        <v>890.6270000000001</v>
      </c>
      <c r="AA41" s="138" t="s">
        <v>37</v>
      </c>
      <c r="AB41" s="137">
        <v>1</v>
      </c>
      <c r="AC41" s="138" t="s">
        <v>37</v>
      </c>
      <c r="AD41" s="138" t="s">
        <v>37</v>
      </c>
      <c r="AE41" s="138" t="s">
        <v>37</v>
      </c>
      <c r="AF41" s="138" t="s">
        <v>37</v>
      </c>
      <c r="AG41" s="138" t="s">
        <v>37</v>
      </c>
      <c r="AH41" s="138" t="s">
        <v>37</v>
      </c>
      <c r="AI41" s="139">
        <v>0.188</v>
      </c>
      <c r="AJ41" s="136">
        <v>167.437876</v>
      </c>
      <c r="AL41" s="313">
        <v>5</v>
      </c>
      <c r="AM41" s="317" t="s">
        <v>849</v>
      </c>
      <c r="AN41" s="127" t="s">
        <v>105</v>
      </c>
      <c r="AO41" s="138" t="s">
        <v>850</v>
      </c>
      <c r="AP41" s="136">
        <v>650</v>
      </c>
      <c r="AQ41" s="138" t="s">
        <v>423</v>
      </c>
    </row>
    <row r="42" spans="3:43" ht="12.75" customHeight="1">
      <c r="C42" s="55" t="s">
        <v>98</v>
      </c>
      <c r="D42" s="55" t="s">
        <v>104</v>
      </c>
      <c r="M42" s="134">
        <v>57</v>
      </c>
      <c r="N42" s="135" t="s">
        <v>99</v>
      </c>
      <c r="O42" s="135" t="s">
        <v>104</v>
      </c>
      <c r="P42" s="136">
        <v>38.32</v>
      </c>
      <c r="Q42" s="137">
        <v>11.317</v>
      </c>
      <c r="R42" s="136">
        <v>10.64</v>
      </c>
      <c r="S42" s="136">
        <v>36361.42</v>
      </c>
      <c r="T42" s="138" t="s">
        <v>423</v>
      </c>
      <c r="U42" s="138" t="s">
        <v>37</v>
      </c>
      <c r="V42" s="135">
        <v>1</v>
      </c>
      <c r="W42" s="136">
        <v>1878</v>
      </c>
      <c r="X42" s="136">
        <v>0.037</v>
      </c>
      <c r="Y42" s="136">
        <v>0.034</v>
      </c>
      <c r="Z42" s="137">
        <v>1889.32</v>
      </c>
      <c r="AA42" s="138" t="s">
        <v>37</v>
      </c>
      <c r="AB42" s="137">
        <v>2</v>
      </c>
      <c r="AC42" s="138" t="s">
        <v>37</v>
      </c>
      <c r="AD42" s="138" t="s">
        <v>37</v>
      </c>
      <c r="AE42" s="138" t="s">
        <v>37</v>
      </c>
      <c r="AF42" s="138" t="s">
        <v>37</v>
      </c>
      <c r="AG42" s="138" t="s">
        <v>37</v>
      </c>
      <c r="AH42" s="138" t="s">
        <v>37</v>
      </c>
      <c r="AI42" s="139">
        <v>0</v>
      </c>
      <c r="AJ42" s="136">
        <v>0</v>
      </c>
      <c r="AL42" s="313">
        <v>119</v>
      </c>
      <c r="AM42" s="317" t="s">
        <v>851</v>
      </c>
      <c r="AN42" s="127" t="s">
        <v>105</v>
      </c>
      <c r="AO42" s="138" t="s">
        <v>37</v>
      </c>
      <c r="AP42" s="136">
        <v>0</v>
      </c>
      <c r="AQ42" s="138" t="s">
        <v>37</v>
      </c>
    </row>
    <row r="43" spans="3:43" ht="12.75" customHeight="1">
      <c r="C43" s="55" t="s">
        <v>99</v>
      </c>
      <c r="D43" s="55" t="s">
        <v>104</v>
      </c>
      <c r="M43" s="134">
        <v>58</v>
      </c>
      <c r="N43" s="135" t="s">
        <v>100</v>
      </c>
      <c r="O43" s="135" t="s">
        <v>104</v>
      </c>
      <c r="P43" s="136">
        <v>38.32</v>
      </c>
      <c r="Q43" s="137">
        <v>11.317</v>
      </c>
      <c r="R43" s="136">
        <v>10.64</v>
      </c>
      <c r="S43" s="136">
        <v>36361.42</v>
      </c>
      <c r="T43" s="138" t="s">
        <v>423</v>
      </c>
      <c r="U43" s="138" t="s">
        <v>37</v>
      </c>
      <c r="V43" s="135">
        <v>1</v>
      </c>
      <c r="W43" s="136">
        <v>1878</v>
      </c>
      <c r="X43" s="136">
        <v>0.037</v>
      </c>
      <c r="Y43" s="136">
        <v>0.034</v>
      </c>
      <c r="Z43" s="137">
        <v>1889.32</v>
      </c>
      <c r="AA43" s="138" t="s">
        <v>37</v>
      </c>
      <c r="AB43" s="137">
        <v>2</v>
      </c>
      <c r="AC43" s="138" t="s">
        <v>37</v>
      </c>
      <c r="AD43" s="138" t="s">
        <v>37</v>
      </c>
      <c r="AE43" s="138" t="s">
        <v>37</v>
      </c>
      <c r="AF43" s="138" t="s">
        <v>37</v>
      </c>
      <c r="AG43" s="138" t="s">
        <v>37</v>
      </c>
      <c r="AH43" s="138" t="s">
        <v>37</v>
      </c>
      <c r="AI43" s="139">
        <v>0</v>
      </c>
      <c r="AJ43" s="136">
        <v>0</v>
      </c>
      <c r="AL43" s="313">
        <v>81</v>
      </c>
      <c r="AM43" s="317" t="s">
        <v>851</v>
      </c>
      <c r="AN43" s="127" t="s">
        <v>105</v>
      </c>
      <c r="AO43" s="138" t="s">
        <v>852</v>
      </c>
      <c r="AP43" s="136">
        <v>890</v>
      </c>
      <c r="AQ43" s="138" t="s">
        <v>423</v>
      </c>
    </row>
    <row r="44" spans="3:43" ht="12.75" customHeight="1">
      <c r="C44" s="55" t="s">
        <v>100</v>
      </c>
      <c r="D44" s="55" t="s">
        <v>104</v>
      </c>
      <c r="M44" s="134">
        <v>61</v>
      </c>
      <c r="N44" s="135" t="s">
        <v>101</v>
      </c>
      <c r="O44" s="135" t="s">
        <v>105</v>
      </c>
      <c r="P44" s="136">
        <v>27.6</v>
      </c>
      <c r="Q44" s="137">
        <v>35.966</v>
      </c>
      <c r="R44" s="136">
        <v>7.67</v>
      </c>
      <c r="S44" s="136">
        <v>16166.25</v>
      </c>
      <c r="T44" s="138" t="s">
        <v>423</v>
      </c>
      <c r="U44" s="138" t="s">
        <v>37</v>
      </c>
      <c r="V44" s="135">
        <v>1</v>
      </c>
      <c r="W44" s="136">
        <v>3190</v>
      </c>
      <c r="X44" s="136">
        <v>0.576</v>
      </c>
      <c r="Y44" s="136">
        <v>0.077</v>
      </c>
      <c r="Z44" s="137">
        <v>3225.966</v>
      </c>
      <c r="AA44" s="138" t="s">
        <v>37</v>
      </c>
      <c r="AB44" s="137">
        <v>1</v>
      </c>
      <c r="AC44" s="138" t="s">
        <v>37</v>
      </c>
      <c r="AD44" s="138" t="s">
        <v>37</v>
      </c>
      <c r="AE44" s="138" t="s">
        <v>37</v>
      </c>
      <c r="AF44" s="138" t="s">
        <v>37</v>
      </c>
      <c r="AG44" s="138" t="s">
        <v>37</v>
      </c>
      <c r="AH44" s="138" t="s">
        <v>37</v>
      </c>
      <c r="AI44" s="139">
        <v>0</v>
      </c>
      <c r="AJ44" s="136">
        <v>0</v>
      </c>
      <c r="AL44" s="314">
        <v>6</v>
      </c>
      <c r="AM44" s="309" t="s">
        <v>853</v>
      </c>
      <c r="AN44" t="s">
        <v>105</v>
      </c>
      <c r="AO44" s="135" t="s">
        <v>854</v>
      </c>
      <c r="AP44" s="312">
        <v>150</v>
      </c>
      <c r="AQ44" s="135" t="s">
        <v>423</v>
      </c>
    </row>
    <row r="45" spans="3:43" ht="12.75" customHeight="1">
      <c r="C45" s="55" t="s">
        <v>101</v>
      </c>
      <c r="D45" s="55" t="s">
        <v>105</v>
      </c>
      <c r="AL45" s="314">
        <v>7</v>
      </c>
      <c r="AM45" s="309" t="s">
        <v>855</v>
      </c>
      <c r="AN45" t="s">
        <v>105</v>
      </c>
      <c r="AO45" s="135" t="s">
        <v>856</v>
      </c>
      <c r="AP45" s="312">
        <v>1300</v>
      </c>
      <c r="AQ45" s="135" t="s">
        <v>423</v>
      </c>
    </row>
    <row r="46" spans="38:43" ht="12.75" customHeight="1">
      <c r="AL46" s="314">
        <v>2</v>
      </c>
      <c r="AM46" s="309" t="s">
        <v>857</v>
      </c>
      <c r="AN46" t="s">
        <v>105</v>
      </c>
      <c r="AO46" s="135" t="s">
        <v>406</v>
      </c>
      <c r="AP46" s="312">
        <v>21</v>
      </c>
      <c r="AQ46" s="135" t="s">
        <v>423</v>
      </c>
    </row>
    <row r="47" spans="38:43" ht="12.75" customHeight="1">
      <c r="AL47" s="314">
        <v>120</v>
      </c>
      <c r="AM47" s="309" t="s">
        <v>858</v>
      </c>
      <c r="AN47" t="s">
        <v>105</v>
      </c>
      <c r="AO47" s="135" t="s">
        <v>859</v>
      </c>
      <c r="AP47" s="312">
        <v>0</v>
      </c>
      <c r="AQ47" s="135" t="s">
        <v>37</v>
      </c>
    </row>
    <row r="48" spans="38:43" ht="12.75" customHeight="1">
      <c r="AL48" s="314">
        <v>3</v>
      </c>
      <c r="AM48" s="309" t="s">
        <v>860</v>
      </c>
      <c r="AN48" t="s">
        <v>105</v>
      </c>
      <c r="AO48" s="135" t="s">
        <v>407</v>
      </c>
      <c r="AP48" s="312">
        <v>310</v>
      </c>
      <c r="AQ48" s="135" t="s">
        <v>423</v>
      </c>
    </row>
    <row r="49" spans="38:43" ht="12.75" customHeight="1">
      <c r="AL49" s="314">
        <v>72</v>
      </c>
      <c r="AM49" s="309" t="s">
        <v>861</v>
      </c>
      <c r="AN49" t="s">
        <v>105</v>
      </c>
      <c r="AO49" s="135" t="s">
        <v>862</v>
      </c>
      <c r="AP49" s="312">
        <v>7480</v>
      </c>
      <c r="AQ49" s="135" t="s">
        <v>863</v>
      </c>
    </row>
    <row r="50" spans="38:43" ht="12.75" customHeight="1">
      <c r="AL50" s="314">
        <v>20</v>
      </c>
      <c r="AM50" s="309" t="s">
        <v>864</v>
      </c>
      <c r="AN50" t="s">
        <v>105</v>
      </c>
      <c r="AO50" s="135" t="s">
        <v>865</v>
      </c>
      <c r="AP50" s="312">
        <v>7000</v>
      </c>
      <c r="AQ50" s="135" t="s">
        <v>423</v>
      </c>
    </row>
    <row r="51" spans="38:43" ht="12.75" customHeight="1">
      <c r="AL51" s="314">
        <v>21</v>
      </c>
      <c r="AM51" s="309" t="s">
        <v>866</v>
      </c>
      <c r="AN51" t="s">
        <v>105</v>
      </c>
      <c r="AO51" s="135" t="s">
        <v>867</v>
      </c>
      <c r="AP51" s="312">
        <v>8700</v>
      </c>
      <c r="AQ51" s="135" t="s">
        <v>423</v>
      </c>
    </row>
    <row r="52" spans="38:43" ht="12.75" customHeight="1">
      <c r="AL52" s="314">
        <v>18</v>
      </c>
      <c r="AM52" s="309" t="s">
        <v>868</v>
      </c>
      <c r="AN52" t="s">
        <v>105</v>
      </c>
      <c r="AO52" s="135" t="s">
        <v>869</v>
      </c>
      <c r="AP52" s="312">
        <v>9200</v>
      </c>
      <c r="AQ52" s="135" t="s">
        <v>423</v>
      </c>
    </row>
    <row r="53" spans="38:43" ht="12.75" customHeight="1">
      <c r="AL53" s="314">
        <v>23</v>
      </c>
      <c r="AM53" s="309" t="s">
        <v>870</v>
      </c>
      <c r="AN53" t="s">
        <v>105</v>
      </c>
      <c r="AO53" s="135" t="s">
        <v>871</v>
      </c>
      <c r="AP53" s="312">
        <v>7400</v>
      </c>
      <c r="AQ53" s="135" t="s">
        <v>423</v>
      </c>
    </row>
    <row r="54" spans="38:43" ht="12.75" customHeight="1">
      <c r="AL54" s="314">
        <v>17</v>
      </c>
      <c r="AM54" s="309" t="s">
        <v>872</v>
      </c>
      <c r="AN54" t="s">
        <v>105</v>
      </c>
      <c r="AO54" s="135" t="s">
        <v>873</v>
      </c>
      <c r="AP54" s="312">
        <v>6500</v>
      </c>
      <c r="AQ54" s="135" t="s">
        <v>423</v>
      </c>
    </row>
    <row r="55" spans="38:43" ht="12.75" customHeight="1">
      <c r="AL55" s="314">
        <v>22</v>
      </c>
      <c r="AM55" s="309" t="s">
        <v>874</v>
      </c>
      <c r="AN55" t="s">
        <v>105</v>
      </c>
      <c r="AO55" s="135" t="s">
        <v>875</v>
      </c>
      <c r="AP55" s="312">
        <v>7500</v>
      </c>
      <c r="AQ55" s="135" t="s">
        <v>423</v>
      </c>
    </row>
    <row r="56" spans="38:43" ht="12.75" customHeight="1">
      <c r="AL56" s="314">
        <v>19</v>
      </c>
      <c r="AM56" s="309" t="s">
        <v>876</v>
      </c>
      <c r="AN56" t="s">
        <v>105</v>
      </c>
      <c r="AO56" s="135" t="s">
        <v>877</v>
      </c>
      <c r="AP56" s="312">
        <v>7000</v>
      </c>
      <c r="AQ56" s="135" t="s">
        <v>423</v>
      </c>
    </row>
    <row r="57" spans="38:43" ht="12.75" customHeight="1">
      <c r="AL57" s="314">
        <v>95</v>
      </c>
      <c r="AM57" s="309" t="s">
        <v>878</v>
      </c>
      <c r="AN57" t="s">
        <v>105</v>
      </c>
      <c r="AO57" s="135" t="s">
        <v>879</v>
      </c>
      <c r="AP57" s="312">
        <v>10450</v>
      </c>
      <c r="AQ57" s="135" t="s">
        <v>780</v>
      </c>
    </row>
    <row r="58" spans="38:43" ht="12.75" customHeight="1">
      <c r="AL58" s="314">
        <v>40</v>
      </c>
      <c r="AM58" s="309" t="s">
        <v>880</v>
      </c>
      <c r="AN58" t="s">
        <v>105</v>
      </c>
      <c r="AO58" s="135" t="s">
        <v>881</v>
      </c>
      <c r="AP58" s="312">
        <v>1182.48</v>
      </c>
      <c r="AQ58" s="135" t="s">
        <v>780</v>
      </c>
    </row>
    <row r="59" spans="38:43" ht="12.75" customHeight="1">
      <c r="AL59" s="314">
        <v>41</v>
      </c>
      <c r="AM59" s="309" t="s">
        <v>882</v>
      </c>
      <c r="AN59" t="s">
        <v>105</v>
      </c>
      <c r="AO59" s="135" t="s">
        <v>883</v>
      </c>
      <c r="AP59" s="312">
        <v>1288.26</v>
      </c>
      <c r="AQ59" s="135" t="s">
        <v>780</v>
      </c>
    </row>
    <row r="60" spans="38:43" ht="12.75" customHeight="1">
      <c r="AL60" s="314">
        <v>42</v>
      </c>
      <c r="AM60" s="309" t="s">
        <v>884</v>
      </c>
      <c r="AN60" t="s">
        <v>105</v>
      </c>
      <c r="AO60" s="135" t="s">
        <v>885</v>
      </c>
      <c r="AP60" s="312">
        <v>934.98</v>
      </c>
      <c r="AQ60" s="135" t="s">
        <v>886</v>
      </c>
    </row>
    <row r="61" spans="38:43" ht="12.75" customHeight="1">
      <c r="AL61" s="314">
        <v>43</v>
      </c>
      <c r="AM61" s="309" t="s">
        <v>887</v>
      </c>
      <c r="AN61" t="s">
        <v>105</v>
      </c>
      <c r="AO61" s="135" t="s">
        <v>888</v>
      </c>
      <c r="AP61" s="312">
        <v>2826.68</v>
      </c>
      <c r="AQ61" s="135" t="s">
        <v>886</v>
      </c>
    </row>
    <row r="62" spans="38:43" ht="12.75" customHeight="1">
      <c r="AL62" s="314">
        <v>44</v>
      </c>
      <c r="AM62" s="309" t="s">
        <v>889</v>
      </c>
      <c r="AN62" t="s">
        <v>105</v>
      </c>
      <c r="AO62" s="135" t="s">
        <v>890</v>
      </c>
      <c r="AP62" s="312">
        <v>2446.88</v>
      </c>
      <c r="AQ62" s="135" t="s">
        <v>886</v>
      </c>
    </row>
    <row r="63" spans="38:43" ht="12.75" customHeight="1">
      <c r="AL63" s="314">
        <v>45</v>
      </c>
      <c r="AM63" s="309" t="s">
        <v>891</v>
      </c>
      <c r="AN63" t="s">
        <v>105</v>
      </c>
      <c r="AO63" s="135" t="s">
        <v>892</v>
      </c>
      <c r="AP63" s="312">
        <v>2834.699</v>
      </c>
      <c r="AQ63" s="135" t="s">
        <v>423</v>
      </c>
    </row>
    <row r="64" spans="38:43" ht="12.75" customHeight="1">
      <c r="AL64" s="314">
        <v>46</v>
      </c>
      <c r="AM64" s="309" t="s">
        <v>893</v>
      </c>
      <c r="AN64" t="s">
        <v>105</v>
      </c>
      <c r="AO64" s="135" t="s">
        <v>894</v>
      </c>
      <c r="AP64" s="312">
        <v>3820.799</v>
      </c>
      <c r="AQ64" s="135" t="s">
        <v>423</v>
      </c>
    </row>
    <row r="65" spans="38:43" ht="12.75" customHeight="1">
      <c r="AL65" s="314">
        <v>48</v>
      </c>
      <c r="AM65" s="309" t="s">
        <v>895</v>
      </c>
      <c r="AN65" t="s">
        <v>105</v>
      </c>
      <c r="AO65" s="135" t="s">
        <v>896</v>
      </c>
      <c r="AP65" s="312">
        <v>4648.85</v>
      </c>
      <c r="AQ65" s="135" t="s">
        <v>886</v>
      </c>
    </row>
    <row r="66" spans="38:43" ht="12.75" customHeight="1">
      <c r="AL66" s="314">
        <v>49</v>
      </c>
      <c r="AM66" s="309" t="s">
        <v>897</v>
      </c>
      <c r="AN66" t="s">
        <v>105</v>
      </c>
      <c r="AO66" s="135" t="s">
        <v>898</v>
      </c>
      <c r="AP66" s="312">
        <v>2013.16</v>
      </c>
      <c r="AQ66" s="135" t="s">
        <v>886</v>
      </c>
    </row>
    <row r="67" spans="38:43" ht="12.75" customHeight="1">
      <c r="AL67" s="314">
        <v>51</v>
      </c>
      <c r="AM67" s="309" t="s">
        <v>899</v>
      </c>
      <c r="AN67" t="s">
        <v>105</v>
      </c>
      <c r="AO67" s="135" t="s">
        <v>900</v>
      </c>
      <c r="AP67" s="312">
        <v>2285</v>
      </c>
      <c r="AQ67" s="135" t="s">
        <v>423</v>
      </c>
    </row>
    <row r="68" spans="38:43" ht="12.75" customHeight="1">
      <c r="AL68" s="314">
        <v>52</v>
      </c>
      <c r="AM68" s="309" t="s">
        <v>901</v>
      </c>
      <c r="AN68" t="s">
        <v>105</v>
      </c>
      <c r="AO68" s="135" t="s">
        <v>902</v>
      </c>
      <c r="AP68" s="312">
        <v>1525.5</v>
      </c>
      <c r="AQ68" s="135" t="s">
        <v>423</v>
      </c>
    </row>
    <row r="69" spans="38:43" ht="12.75" customHeight="1">
      <c r="AL69" s="314">
        <v>96</v>
      </c>
      <c r="AM69" s="309" t="s">
        <v>903</v>
      </c>
      <c r="AN69" t="s">
        <v>105</v>
      </c>
      <c r="AO69" s="135" t="s">
        <v>904</v>
      </c>
      <c r="AP69" s="312">
        <v>1427.5</v>
      </c>
      <c r="AQ69" s="135" t="s">
        <v>423</v>
      </c>
    </row>
    <row r="70" spans="38:43" ht="12.75" customHeight="1">
      <c r="AL70" s="314">
        <v>97</v>
      </c>
      <c r="AM70" s="309" t="s">
        <v>905</v>
      </c>
      <c r="AN70" t="s">
        <v>105</v>
      </c>
      <c r="AO70" s="135" t="s">
        <v>906</v>
      </c>
      <c r="AP70" s="312">
        <v>1362.5</v>
      </c>
      <c r="AQ70" s="135" t="s">
        <v>423</v>
      </c>
    </row>
    <row r="71" spans="38:43" ht="12.75" customHeight="1">
      <c r="AL71" s="314">
        <v>53</v>
      </c>
      <c r="AM71" s="309" t="s">
        <v>907</v>
      </c>
      <c r="AN71" t="s">
        <v>105</v>
      </c>
      <c r="AO71" s="135" t="s">
        <v>908</v>
      </c>
      <c r="AP71" s="312">
        <v>2794.7</v>
      </c>
      <c r="AQ71" s="135" t="s">
        <v>886</v>
      </c>
    </row>
    <row r="72" spans="38:43" ht="12.75" customHeight="1">
      <c r="AL72" s="314">
        <v>54</v>
      </c>
      <c r="AM72" s="309" t="s">
        <v>909</v>
      </c>
      <c r="AN72" t="s">
        <v>105</v>
      </c>
      <c r="AO72" s="135" t="s">
        <v>910</v>
      </c>
      <c r="AP72" s="312">
        <v>1584.75</v>
      </c>
      <c r="AQ72" s="135" t="s">
        <v>780</v>
      </c>
    </row>
    <row r="73" spans="38:43" ht="12.75" customHeight="1">
      <c r="AL73" s="314">
        <v>98</v>
      </c>
      <c r="AM73" s="309" t="s">
        <v>911</v>
      </c>
      <c r="AN73" t="s">
        <v>105</v>
      </c>
      <c r="AO73" s="135" t="s">
        <v>912</v>
      </c>
      <c r="AP73" s="312">
        <v>1559.75</v>
      </c>
      <c r="AQ73" s="135" t="s">
        <v>780</v>
      </c>
    </row>
    <row r="74" spans="38:43" ht="12.75" customHeight="1">
      <c r="AL74" s="314">
        <v>55</v>
      </c>
      <c r="AM74" s="309" t="s">
        <v>913</v>
      </c>
      <c r="AN74" t="s">
        <v>105</v>
      </c>
      <c r="AO74" s="135" t="s">
        <v>914</v>
      </c>
      <c r="AP74" s="312">
        <v>1725</v>
      </c>
      <c r="AQ74" s="135" t="s">
        <v>423</v>
      </c>
    </row>
    <row r="75" spans="38:43" ht="12.75" customHeight="1">
      <c r="AL75" s="314">
        <v>56</v>
      </c>
      <c r="AM75" s="309" t="s">
        <v>915</v>
      </c>
      <c r="AN75" t="s">
        <v>105</v>
      </c>
      <c r="AO75" s="135" t="s">
        <v>916</v>
      </c>
      <c r="AP75" s="312">
        <v>1617.5</v>
      </c>
      <c r="AQ75" s="135" t="s">
        <v>423</v>
      </c>
    </row>
    <row r="76" spans="38:43" ht="12.75" customHeight="1">
      <c r="AL76" s="314">
        <v>57</v>
      </c>
      <c r="AM76" s="309" t="s">
        <v>917</v>
      </c>
      <c r="AN76" t="s">
        <v>105</v>
      </c>
      <c r="AO76" s="135" t="s">
        <v>918</v>
      </c>
      <c r="AP76" s="312">
        <v>1623.52</v>
      </c>
      <c r="AQ76" s="135" t="s">
        <v>919</v>
      </c>
    </row>
    <row r="77" spans="38:43" ht="12.75" customHeight="1">
      <c r="AL77" s="314">
        <v>58</v>
      </c>
      <c r="AM77" s="309" t="s">
        <v>920</v>
      </c>
      <c r="AN77" t="s">
        <v>105</v>
      </c>
      <c r="AO77" s="135" t="s">
        <v>921</v>
      </c>
      <c r="AP77" s="312">
        <v>1758.35</v>
      </c>
      <c r="AQ77" s="135" t="s">
        <v>919</v>
      </c>
    </row>
    <row r="78" spans="38:43" ht="12.75" customHeight="1">
      <c r="AL78" s="314">
        <v>59</v>
      </c>
      <c r="AM78" s="309" t="s">
        <v>922</v>
      </c>
      <c r="AN78" t="s">
        <v>105</v>
      </c>
      <c r="AO78" s="135" t="s">
        <v>923</v>
      </c>
      <c r="AP78" s="312">
        <v>2194.5</v>
      </c>
      <c r="AQ78" s="135" t="s">
        <v>886</v>
      </c>
    </row>
    <row r="79" spans="38:43" ht="12.75" customHeight="1">
      <c r="AL79" s="314">
        <v>60</v>
      </c>
      <c r="AM79" s="309" t="s">
        <v>924</v>
      </c>
      <c r="AN79" t="s">
        <v>105</v>
      </c>
      <c r="AO79" s="135" t="s">
        <v>925</v>
      </c>
      <c r="AP79" s="312">
        <v>1826.92</v>
      </c>
      <c r="AQ79" s="135" t="s">
        <v>926</v>
      </c>
    </row>
    <row r="80" spans="38:43" ht="12.75" customHeight="1">
      <c r="AL80" s="314">
        <v>61</v>
      </c>
      <c r="AM80" s="309" t="s">
        <v>927</v>
      </c>
      <c r="AN80" t="s">
        <v>105</v>
      </c>
      <c r="AO80" s="135" t="s">
        <v>928</v>
      </c>
      <c r="AP80" s="312">
        <v>1548.37</v>
      </c>
      <c r="AQ80" s="135" t="s">
        <v>886</v>
      </c>
    </row>
    <row r="81" spans="38:43" ht="12.75" customHeight="1">
      <c r="AL81" s="314">
        <v>62</v>
      </c>
      <c r="AM81" s="309" t="s">
        <v>929</v>
      </c>
      <c r="AN81" t="s">
        <v>105</v>
      </c>
      <c r="AO81" s="135" t="s">
        <v>930</v>
      </c>
      <c r="AP81" s="312">
        <v>1388.42</v>
      </c>
      <c r="AQ81" s="135" t="s">
        <v>886</v>
      </c>
    </row>
    <row r="82" spans="38:43" ht="12.75" customHeight="1">
      <c r="AL82" s="314">
        <v>99</v>
      </c>
      <c r="AM82" s="309" t="s">
        <v>931</v>
      </c>
      <c r="AN82" t="s">
        <v>105</v>
      </c>
      <c r="AO82" s="135" t="s">
        <v>932</v>
      </c>
      <c r="AP82" s="312">
        <v>1509.4</v>
      </c>
      <c r="AQ82" s="135" t="s">
        <v>886</v>
      </c>
    </row>
    <row r="83" spans="38:43" ht="12.75" customHeight="1">
      <c r="AL83" s="314">
        <v>100</v>
      </c>
      <c r="AM83" s="309" t="s">
        <v>933</v>
      </c>
      <c r="AN83" t="s">
        <v>105</v>
      </c>
      <c r="AO83" s="135" t="s">
        <v>934</v>
      </c>
      <c r="AP83" s="312">
        <v>557.5</v>
      </c>
      <c r="AQ83" s="135" t="s">
        <v>886</v>
      </c>
    </row>
    <row r="84" spans="38:43" ht="12.75" customHeight="1">
      <c r="AL84" s="314">
        <v>101</v>
      </c>
      <c r="AM84" s="309" t="s">
        <v>935</v>
      </c>
      <c r="AN84" t="s">
        <v>105</v>
      </c>
      <c r="AO84" s="135" t="s">
        <v>936</v>
      </c>
      <c r="AP84" s="312">
        <v>1034.01</v>
      </c>
      <c r="AQ84" s="135" t="s">
        <v>886</v>
      </c>
    </row>
    <row r="85" spans="38:43" ht="12.75" customHeight="1">
      <c r="AL85" s="314">
        <v>115</v>
      </c>
      <c r="AM85" s="309" t="s">
        <v>937</v>
      </c>
      <c r="AN85" t="s">
        <v>105</v>
      </c>
      <c r="AO85" s="135" t="s">
        <v>938</v>
      </c>
      <c r="AP85" s="312">
        <v>2014.78</v>
      </c>
      <c r="AQ85" s="135" t="s">
        <v>423</v>
      </c>
    </row>
    <row r="86" spans="38:43" ht="12.75" customHeight="1">
      <c r="AL86" s="314">
        <v>102</v>
      </c>
      <c r="AM86" s="309" t="s">
        <v>939</v>
      </c>
      <c r="AN86" t="s">
        <v>105</v>
      </c>
      <c r="AO86" s="135" t="s">
        <v>940</v>
      </c>
      <c r="AP86" s="312">
        <v>1764.26</v>
      </c>
      <c r="AQ86" s="135" t="s">
        <v>886</v>
      </c>
    </row>
    <row r="87" spans="38:43" ht="12.75" customHeight="1">
      <c r="AL87" s="314">
        <v>103</v>
      </c>
      <c r="AM87" s="309" t="s">
        <v>941</v>
      </c>
      <c r="AN87" t="s">
        <v>105</v>
      </c>
      <c r="AO87" s="135" t="s">
        <v>942</v>
      </c>
      <c r="AP87" s="312">
        <v>2442.04</v>
      </c>
      <c r="AQ87" s="135" t="s">
        <v>423</v>
      </c>
    </row>
    <row r="88" spans="38:43" ht="12.75" customHeight="1">
      <c r="AL88" s="314">
        <v>104</v>
      </c>
      <c r="AM88" s="309" t="s">
        <v>943</v>
      </c>
      <c r="AN88" t="s">
        <v>105</v>
      </c>
      <c r="AO88" s="135" t="s">
        <v>944</v>
      </c>
      <c r="AP88" s="312">
        <v>1421.2</v>
      </c>
      <c r="AQ88" s="135" t="s">
        <v>886</v>
      </c>
    </row>
    <row r="89" spans="38:43" ht="12.75" customHeight="1">
      <c r="AL89" s="314">
        <v>105</v>
      </c>
      <c r="AM89" s="309" t="s">
        <v>945</v>
      </c>
      <c r="AN89" t="s">
        <v>105</v>
      </c>
      <c r="AO89" s="135" t="s">
        <v>946</v>
      </c>
      <c r="AP89" s="312">
        <v>2170</v>
      </c>
      <c r="AQ89" s="135" t="s">
        <v>423</v>
      </c>
    </row>
    <row r="90" spans="38:43" ht="12.75" customHeight="1">
      <c r="AL90" s="314">
        <v>106</v>
      </c>
      <c r="AM90" s="309" t="s">
        <v>947</v>
      </c>
      <c r="AN90" t="s">
        <v>105</v>
      </c>
      <c r="AO90" s="135" t="s">
        <v>948</v>
      </c>
      <c r="AP90" s="312">
        <v>2575</v>
      </c>
      <c r="AQ90" s="135" t="s">
        <v>423</v>
      </c>
    </row>
    <row r="91" spans="38:43" ht="12.75" customHeight="1">
      <c r="AL91" s="314">
        <v>89</v>
      </c>
      <c r="AM91" s="309" t="s">
        <v>949</v>
      </c>
      <c r="AN91" t="s">
        <v>105</v>
      </c>
      <c r="AO91" s="135" t="s">
        <v>950</v>
      </c>
      <c r="AP91" s="312">
        <v>2292.27</v>
      </c>
      <c r="AQ91" s="135" t="s">
        <v>423</v>
      </c>
    </row>
    <row r="92" spans="38:43" ht="12.75" customHeight="1">
      <c r="AL92" s="314">
        <v>90</v>
      </c>
      <c r="AM92" s="309" t="s">
        <v>951</v>
      </c>
      <c r="AN92" t="s">
        <v>105</v>
      </c>
      <c r="AO92" s="135" t="s">
        <v>952</v>
      </c>
      <c r="AP92" s="312">
        <v>2138.91</v>
      </c>
      <c r="AQ92" s="135" t="s">
        <v>423</v>
      </c>
    </row>
    <row r="93" spans="38:43" ht="12.75" customHeight="1">
      <c r="AL93" s="314">
        <v>91</v>
      </c>
      <c r="AM93" s="309" t="s">
        <v>953</v>
      </c>
      <c r="AN93" t="s">
        <v>105</v>
      </c>
      <c r="AO93" s="135" t="s">
        <v>954</v>
      </c>
      <c r="AP93" s="312">
        <v>2543.92</v>
      </c>
      <c r="AQ93" s="135" t="s">
        <v>423</v>
      </c>
    </row>
    <row r="94" spans="38:43" ht="12.75" customHeight="1">
      <c r="AL94" s="314">
        <v>107</v>
      </c>
      <c r="AM94" s="309" t="s">
        <v>955</v>
      </c>
      <c r="AN94" t="s">
        <v>105</v>
      </c>
      <c r="AO94" s="135" t="s">
        <v>956</v>
      </c>
      <c r="AP94" s="312">
        <v>2060</v>
      </c>
      <c r="AQ94" s="135" t="s">
        <v>423</v>
      </c>
    </row>
    <row r="95" spans="38:43" ht="12.75" customHeight="1">
      <c r="AL95" s="314">
        <v>108</v>
      </c>
      <c r="AM95" s="309" t="s">
        <v>957</v>
      </c>
      <c r="AN95" t="s">
        <v>105</v>
      </c>
      <c r="AO95" s="135" t="s">
        <v>958</v>
      </c>
      <c r="AP95" s="312">
        <v>2183.87</v>
      </c>
      <c r="AQ95" s="135" t="s">
        <v>959</v>
      </c>
    </row>
    <row r="96" spans="38:43" ht="12.75" customHeight="1">
      <c r="AL96" s="314">
        <v>109</v>
      </c>
      <c r="AM96" s="309" t="s">
        <v>960</v>
      </c>
      <c r="AN96" t="s">
        <v>105</v>
      </c>
      <c r="AO96" s="135" t="s">
        <v>961</v>
      </c>
      <c r="AP96" s="312">
        <v>1371.75</v>
      </c>
      <c r="AQ96" s="135" t="s">
        <v>423</v>
      </c>
    </row>
    <row r="97" spans="38:43" ht="12.75" customHeight="1">
      <c r="AL97" s="314">
        <v>110</v>
      </c>
      <c r="AM97" s="309" t="s">
        <v>962</v>
      </c>
      <c r="AN97" t="s">
        <v>105</v>
      </c>
      <c r="AO97" s="135" t="s">
        <v>963</v>
      </c>
      <c r="AP97" s="312">
        <v>1374.73</v>
      </c>
      <c r="AQ97" s="135" t="s">
        <v>423</v>
      </c>
    </row>
    <row r="98" spans="38:43" ht="12.75" customHeight="1">
      <c r="AL98" s="314">
        <v>111</v>
      </c>
      <c r="AM98" s="309" t="s">
        <v>964</v>
      </c>
      <c r="AN98" t="s">
        <v>105</v>
      </c>
      <c r="AO98" s="135" t="s">
        <v>965</v>
      </c>
      <c r="AP98" s="312">
        <v>1827.5</v>
      </c>
      <c r="AQ98" s="135" t="s">
        <v>423</v>
      </c>
    </row>
    <row r="99" spans="38:43" ht="12.75" customHeight="1">
      <c r="AL99" s="314">
        <v>112</v>
      </c>
      <c r="AM99" s="309" t="s">
        <v>966</v>
      </c>
      <c r="AN99" t="s">
        <v>105</v>
      </c>
      <c r="AO99" s="135" t="s">
        <v>967</v>
      </c>
      <c r="AP99" s="312">
        <v>2972.78</v>
      </c>
      <c r="AQ99" s="135" t="s">
        <v>423</v>
      </c>
    </row>
    <row r="100" spans="38:43" ht="12.75" customHeight="1">
      <c r="AL100" s="314">
        <v>93</v>
      </c>
      <c r="AM100" s="309" t="s">
        <v>968</v>
      </c>
      <c r="AN100" t="s">
        <v>105</v>
      </c>
      <c r="AO100" s="135" t="s">
        <v>969</v>
      </c>
      <c r="AP100" s="312">
        <v>1930.42</v>
      </c>
      <c r="AQ100" s="135" t="s">
        <v>926</v>
      </c>
    </row>
    <row r="101" spans="38:43" ht="12.75" customHeight="1">
      <c r="AL101" s="314">
        <v>63</v>
      </c>
      <c r="AM101" s="309" t="s">
        <v>970</v>
      </c>
      <c r="AN101" t="s">
        <v>105</v>
      </c>
      <c r="AO101" s="135" t="s">
        <v>971</v>
      </c>
      <c r="AP101" s="312">
        <v>8048.18</v>
      </c>
      <c r="AQ101" s="135" t="s">
        <v>886</v>
      </c>
    </row>
    <row r="102" spans="38:43" ht="12.75" customHeight="1">
      <c r="AL102" s="314">
        <v>64</v>
      </c>
      <c r="AM102" s="309" t="s">
        <v>972</v>
      </c>
      <c r="AN102" t="s">
        <v>105</v>
      </c>
      <c r="AO102" s="135" t="s">
        <v>973</v>
      </c>
      <c r="AP102" s="312">
        <v>4082.5</v>
      </c>
      <c r="AQ102" s="135" t="s">
        <v>886</v>
      </c>
    </row>
    <row r="103" spans="38:43" ht="12.75" customHeight="1">
      <c r="AL103" s="314">
        <v>65</v>
      </c>
      <c r="AM103" s="309" t="s">
        <v>974</v>
      </c>
      <c r="AN103" t="s">
        <v>105</v>
      </c>
      <c r="AO103" s="135" t="s">
        <v>975</v>
      </c>
      <c r="AP103" s="312">
        <v>4656.72</v>
      </c>
      <c r="AQ103" s="135" t="s">
        <v>886</v>
      </c>
    </row>
    <row r="104" spans="38:43" ht="12.75" customHeight="1">
      <c r="AL104" s="314">
        <v>66</v>
      </c>
      <c r="AM104" s="309" t="s">
        <v>976</v>
      </c>
      <c r="AN104" t="s">
        <v>105</v>
      </c>
      <c r="AO104" s="135" t="s">
        <v>977</v>
      </c>
      <c r="AP104" s="312">
        <v>13317.3</v>
      </c>
      <c r="AQ104" s="135" t="s">
        <v>886</v>
      </c>
    </row>
    <row r="105" spans="38:43" ht="12.75" customHeight="1">
      <c r="AL105" s="314">
        <v>67</v>
      </c>
      <c r="AM105" s="309" t="s">
        <v>978</v>
      </c>
      <c r="AN105" t="s">
        <v>105</v>
      </c>
      <c r="AO105" s="135" t="s">
        <v>979</v>
      </c>
      <c r="AP105" s="312">
        <v>4130.96</v>
      </c>
      <c r="AQ105" s="135" t="s">
        <v>886</v>
      </c>
    </row>
    <row r="106" spans="38:43" ht="12.75" customHeight="1">
      <c r="AL106" s="314">
        <v>69</v>
      </c>
      <c r="AM106" s="309" t="s">
        <v>980</v>
      </c>
      <c r="AN106" t="s">
        <v>105</v>
      </c>
      <c r="AO106" s="135" t="s">
        <v>981</v>
      </c>
      <c r="AP106" s="312">
        <v>10175</v>
      </c>
      <c r="AQ106" s="135" t="s">
        <v>423</v>
      </c>
    </row>
    <row r="107" spans="38:43" ht="12.75" customHeight="1">
      <c r="AL107" s="314">
        <v>70</v>
      </c>
      <c r="AM107" s="309" t="s">
        <v>982</v>
      </c>
      <c r="AN107" t="s">
        <v>105</v>
      </c>
      <c r="AO107" s="135" t="s">
        <v>983</v>
      </c>
      <c r="AP107" s="312">
        <v>10350</v>
      </c>
      <c r="AQ107" s="135" t="s">
        <v>423</v>
      </c>
    </row>
    <row r="108" spans="38:43" ht="12.75" customHeight="1">
      <c r="AL108" s="314">
        <v>71</v>
      </c>
      <c r="AM108" s="309" t="s">
        <v>984</v>
      </c>
      <c r="AN108" t="s">
        <v>105</v>
      </c>
      <c r="AO108" s="135" t="s">
        <v>985</v>
      </c>
      <c r="AP108" s="312">
        <v>4716.4</v>
      </c>
      <c r="AQ108" s="135" t="s">
        <v>423</v>
      </c>
    </row>
    <row r="109" spans="38:43" ht="12.75" customHeight="1">
      <c r="AL109" s="314">
        <v>75</v>
      </c>
      <c r="AM109" s="309" t="s">
        <v>986</v>
      </c>
      <c r="AN109" t="s">
        <v>105</v>
      </c>
      <c r="AO109" s="135" t="s">
        <v>987</v>
      </c>
      <c r="AP109" s="312">
        <v>1400</v>
      </c>
      <c r="AQ109" s="135" t="s">
        <v>780</v>
      </c>
    </row>
    <row r="110" spans="38:43" ht="12.75" customHeight="1">
      <c r="AL110" s="314">
        <v>76</v>
      </c>
      <c r="AM110" s="309" t="s">
        <v>988</v>
      </c>
      <c r="AN110" t="s">
        <v>105</v>
      </c>
      <c r="AO110" s="135" t="s">
        <v>989</v>
      </c>
      <c r="AP110" s="312">
        <v>17200</v>
      </c>
      <c r="AQ110" s="135" t="s">
        <v>423</v>
      </c>
    </row>
    <row r="111" spans="38:43" ht="12.75" customHeight="1">
      <c r="AL111" s="314">
        <v>82</v>
      </c>
      <c r="AM111" s="318" t="s">
        <v>80</v>
      </c>
      <c r="AN111" t="s">
        <v>105</v>
      </c>
      <c r="AO111" s="135" t="s">
        <v>990</v>
      </c>
      <c r="AP111" s="312">
        <v>0</v>
      </c>
      <c r="AQ111" s="135" t="s">
        <v>37</v>
      </c>
    </row>
  </sheetData>
  <sheetProtection password="E71A"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d’extension du réseau triphasé</dc:title>
  <dc:subject>Formulaire à remplir dans le cadre d’une demande d'aide financière au programme d’extension du réseau triphasé.</dc:subject>
  <dc:creator>Ministère de l’Environnement, de la Lutte contre les changements climatiques, de la Faune et des Parcs; MELCCFP</dc:creator>
  <cp:keywords>aide financière, programme, extension, réseau triphasé</cp:keywords>
  <dc:description/>
  <cp:lastModifiedBy>Galerneau, Sophie</cp:lastModifiedBy>
  <dcterms:created xsi:type="dcterms:W3CDTF">2006-09-16T00:00:00Z</dcterms:created>
  <dcterms:modified xsi:type="dcterms:W3CDTF">2024-03-21T20:36:11Z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